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" windowWidth="25755" windowHeight="11595"/>
  </bookViews>
  <sheets>
    <sheet name="BOLDetails1.xls" sheetId="1" r:id="rId1"/>
  </sheets>
  <calcPr calcId="145621"/>
</workbook>
</file>

<file path=xl/calcChain.xml><?xml version="1.0" encoding="utf-8"?>
<calcChain xmlns="http://schemas.openxmlformats.org/spreadsheetml/2006/main">
  <c r="K226" i="1" l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<sst xmlns="http://schemas.openxmlformats.org/spreadsheetml/2006/main" count="1301" uniqueCount="839">
  <si>
    <t>LOCATION</t>
  </si>
  <si>
    <t>LOT #</t>
  </si>
  <si>
    <t>CATEGORY</t>
  </si>
  <si>
    <t>RETURN TYPE</t>
  </si>
  <si>
    <t># OF PALLETS</t>
  </si>
  <si>
    <t># OF CARTONS</t>
  </si>
  <si>
    <t>WEIGHT</t>
  </si>
  <si>
    <t>TOTAL ORIGINAL RETAIL</t>
  </si>
  <si>
    <t># OF UNITS</t>
  </si>
  <si>
    <t>HOUSTON CRC, HOUSTON, TX</t>
  </si>
  <si>
    <t>TEXTILES</t>
  </si>
  <si>
    <t>STORE STOCK</t>
  </si>
  <si>
    <t>TOTAL: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</si>
  <si>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</si>
  <si>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</si>
  <si>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</si>
  <si>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</si>
  <si>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</si>
  <si>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</si>
  <si>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</si>
  <si>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VENDOR NAME</t>
  </si>
  <si>
    <t>FABRIC CONTENT</t>
  </si>
  <si>
    <t>IMAGE</t>
  </si>
  <si>
    <t>813608022196</t>
  </si>
  <si>
    <t>DOWN COMFORTERS</t>
  </si>
  <si>
    <t>P2016-0112-Q</t>
  </si>
  <si>
    <t>WHITE</t>
  </si>
  <si>
    <t>ST JAMES HOME INC</t>
  </si>
  <si>
    <t>WOVEN JACQUARD COTTON, WHITE GOOSE DOWN</t>
  </si>
  <si>
    <t>709271453101</t>
  </si>
  <si>
    <t>Calvin Klein Modern Steve King Duvet Navy King</t>
  </si>
  <si>
    <t>1410158-KG-N1-D2</t>
  </si>
  <si>
    <t>NAVY</t>
  </si>
  <si>
    <t>CALVIN KLEIN HOME/HIMATSINGKA AMER</t>
  </si>
  <si>
    <t>FABRIC: COTTON/MODAL/POLYESTER/SPANDEX</t>
  </si>
  <si>
    <t>709271453040</t>
  </si>
  <si>
    <t>Calvin Klein odern Cotton Steve FullQueen Grey FullQueen</t>
  </si>
  <si>
    <t>1410158-FQ-G1-D2</t>
  </si>
  <si>
    <t>GRAY</t>
  </si>
  <si>
    <t>COTTON/MODAL/POLYESTER/SPANDEX</t>
  </si>
  <si>
    <t>675716698331</t>
  </si>
  <si>
    <t>AMHERST K COMF SET NAVY</t>
  </si>
  <si>
    <t>MP10-2208</t>
  </si>
  <si>
    <t>JLA HOME/E &amp; E CO LTD</t>
  </si>
  <si>
    <t>COMFORTER, BEDSKIRT, SHAMS AND DECORATIVE PILLOWS: POLYESTER; COMFORTER AND DECORATIVE PILLOW FILL: POLYESTER</t>
  </si>
  <si>
    <t>86569072153</t>
  </si>
  <si>
    <t>Madison Park Madison Park Ava King Medallio Grey King</t>
  </si>
  <si>
    <t>MP10-6014</t>
  </si>
  <si>
    <t>COMFORTER/SHAM -100% POLYESTER 240GSM EMBROIDERED LONG FUR ON FACE, 100% POLYESTER SOLID 180GSM MINK ON BACK, COMFORTER FILL - 260GSM POLYESTER</t>
  </si>
  <si>
    <t>848742088647</t>
  </si>
  <si>
    <t>INSLTD KNTTD TAB TOP WP BASIC</t>
  </si>
  <si>
    <t>16T004574</t>
  </si>
  <si>
    <t>BROWN</t>
  </si>
  <si>
    <t>LUSH DECOR/TRIANGLE HOME FASHIONS</t>
  </si>
  <si>
    <t>POLYESTER</t>
  </si>
  <si>
    <t>732997430873</t>
  </si>
  <si>
    <t>TUFTD VELV GY FQ QLT</t>
  </si>
  <si>
    <t>VTUFTGYFQ</t>
  </si>
  <si>
    <t>LT/PAS GRY</t>
  </si>
  <si>
    <t>MARTHA STEWART-MMG/COLLECTION 43417</t>
  </si>
  <si>
    <t>VISCOSE/NYLON; POLYESTER FILL</t>
  </si>
  <si>
    <t>783048059833</t>
  </si>
  <si>
    <t>Charisma Charisma Luxe Down Alternative White King</t>
  </si>
  <si>
    <t>PW2723KG2-9300</t>
  </si>
  <si>
    <t>KING</t>
  </si>
  <si>
    <t>PEM AMERICA INC</t>
  </si>
  <si>
    <t>COTTON/POLYESTER FACE; 34OZ HYPOALLERGENIC FILL; 400TC</t>
  </si>
  <si>
    <t>675716980900</t>
  </si>
  <si>
    <t>Woolrich Buffalo Check Reversible 3-Pc. Gray KingCalifornia King</t>
  </si>
  <si>
    <t>WR14-2022</t>
  </si>
  <si>
    <t>QUILT AND SHAMS: COTTON; QUILT FILL: COTTON/POLYESTER/OTHER FIBER 250GSM</t>
  </si>
  <si>
    <t>675716799151</t>
  </si>
  <si>
    <t>Madison Park Madison Park Taos 6-Pc FullQu Spice FullQueen</t>
  </si>
  <si>
    <t>MP13-3153</t>
  </si>
  <si>
    <t>MED ORANGE</t>
  </si>
  <si>
    <t>100% POLYESTER; COVERLET FILL: 90% COTTON, 5% PLYESTER,5% OTHER FIBERS</t>
  </si>
  <si>
    <t>675716534875</t>
  </si>
  <si>
    <t>Madison Park Quinn 7-Pc. Geometric Jacquard Grey Queen</t>
  </si>
  <si>
    <t>MP10-922</t>
  </si>
  <si>
    <t>675716509675</t>
  </si>
  <si>
    <t>Madison Park Essentials Vaughn 9-Pc. King C Taupe King</t>
  </si>
  <si>
    <t>MPE10-016</t>
  </si>
  <si>
    <t>LT/PAS BWN</t>
  </si>
  <si>
    <t>COMFORTER/SHAM/BEDSKIRT: POLYESTER 85 GRAMS PER SQUARE METER; PILLOW (COVER): POLYESTER; SHEETS: COTTON; THREAD COUNT: 180; PILLOW FILL: POLYESTER; COMFORTER FILL: POLYESTER 250 GRAMS PER SQUARE METER</t>
  </si>
  <si>
    <t>42075563073</t>
  </si>
  <si>
    <t>Dream Factory Sharks FullQueen Comforter Se Navy FullQueen</t>
  </si>
  <si>
    <t>2-8694C3NY</t>
  </si>
  <si>
    <t>BRYAN KEITH/CHF INDUSTRIES</t>
  </si>
  <si>
    <t>COTTON</t>
  </si>
  <si>
    <t>849657006115</t>
  </si>
  <si>
    <t>Rod Desyne Rod Desyne Adora Curtain Rod 0 Satin Nickel 120-170in</t>
  </si>
  <si>
    <t>4816-995</t>
  </si>
  <si>
    <t>SILVER</t>
  </si>
  <si>
    <t>ROD DESYNE</t>
  </si>
  <si>
    <t>STEEL ROD AND RESIN FINIALS</t>
  </si>
  <si>
    <t>675716821760</t>
  </si>
  <si>
    <t>Madison Park Rhapsody 6-Pc. KingCalifornia Grey KingCalifornia King</t>
  </si>
  <si>
    <t>MP13-3400</t>
  </si>
  <si>
    <t>COVERLET/SHAM/PILLOW: POLYESTER; COVERLET FILL: COTTON/POLYESTER/OTHER 240 GRAMS PER SQUARE METER; PILLOW FILL: POLYESTER</t>
  </si>
  <si>
    <t>608356260590</t>
  </si>
  <si>
    <t>Charter Club Damask Designs King Bed Blanke Blue King</t>
  </si>
  <si>
    <t>100023189KG</t>
  </si>
  <si>
    <t>CHARTER CLUB/SHANGHAI SUNWIN IN</t>
  </si>
  <si>
    <t>848742083789</t>
  </si>
  <si>
    <t>WEEPING FLOWER RD WP BASIC</t>
  </si>
  <si>
    <t>16T004093</t>
  </si>
  <si>
    <t>848742076484</t>
  </si>
  <si>
    <t>MID CENTURY GEO RD WP SEBASIC</t>
  </si>
  <si>
    <t>16T003351</t>
  </si>
  <si>
    <t>ORANGE</t>
  </si>
  <si>
    <t>848742028827</t>
  </si>
  <si>
    <t>SWIRL WP GRAY SET</t>
  </si>
  <si>
    <t>C28827P14-000</t>
  </si>
  <si>
    <t>848742069233</t>
  </si>
  <si>
    <t>Lush Decor Mid Century Geo 52 x 84 Curt Gold 52x84</t>
  </si>
  <si>
    <t>16T002485</t>
  </si>
  <si>
    <t>GOLD</t>
  </si>
  <si>
    <t>675716733131</t>
  </si>
  <si>
    <t>CELESTE Q COMF SET WHITE</t>
  </si>
  <si>
    <t>MP10-2527</t>
  </si>
  <si>
    <t>COMFORTER AND SHAM FACE: MICROFIBER FROM POLYESTER 85 GRAMS PER SQUARE METER; POLYESTER REVERSE; BEDSKIRT DROP AND PLATFORM: POLYESTER; DECORATIVE PILLOW: MICROFIBER FROM POLYESTER; POLYESTER FILL; COMFORTER FILL: POLYESTER 80 GRAMS PER SQUARE METER</t>
  </si>
  <si>
    <t>783048059826</t>
  </si>
  <si>
    <t>Charisma Charisma Luxe Down Alternative White Standard</t>
  </si>
  <si>
    <t>PW2723STD2-9300</t>
  </si>
  <si>
    <t>SINGLE</t>
  </si>
  <si>
    <t>848742084076</t>
  </si>
  <si>
    <t>Lush Decor Insulated 108x52 Back Tab ou Dark Gray 52x108</t>
  </si>
  <si>
    <t>16T004121</t>
  </si>
  <si>
    <t>DARK GRAY</t>
  </si>
  <si>
    <t>848742081341</t>
  </si>
  <si>
    <t>BOTANICAL GARDEN WP</t>
  </si>
  <si>
    <t>16T003935</t>
  </si>
  <si>
    <t>732997421741</t>
  </si>
  <si>
    <t>VLVT FLRSH BL KG QLT</t>
  </si>
  <si>
    <t>VFLSHBLKG</t>
  </si>
  <si>
    <t>LT/PASBLUE</t>
  </si>
  <si>
    <t>FACE: POLYESTER/SPANDEX; BACK AND FILL: COTTON</t>
  </si>
  <si>
    <t>840970150967</t>
  </si>
  <si>
    <t>Ellen Tracy Ellen Tracy Chandler 5-Piece K Beige King</t>
  </si>
  <si>
    <t>ETCM5-002-K</t>
  </si>
  <si>
    <t>CATHAY HOME INC</t>
  </si>
  <si>
    <t>840456054840</t>
  </si>
  <si>
    <t>Duck River Textile Aeryn 54 x 84 Floral Blackou Slate Blue 54x84</t>
  </si>
  <si>
    <t>AERYN5484 6</t>
  </si>
  <si>
    <t>DUCK RIVER TEXTILE</t>
  </si>
  <si>
    <t>848742069097</t>
  </si>
  <si>
    <t>LUSH DCOR INSULATED GROMBASIC</t>
  </si>
  <si>
    <t>16T002471</t>
  </si>
  <si>
    <t>95 2.5</t>
  </si>
  <si>
    <t>848742081907</t>
  </si>
  <si>
    <t>INSULATD BLACKOUT WP BASIC</t>
  </si>
  <si>
    <t>16T003902</t>
  </si>
  <si>
    <t>96675649910</t>
  </si>
  <si>
    <t>Martha Stewart Collection Dream Science Gel Enhanced Mem White Twin</t>
  </si>
  <si>
    <t>M64991</t>
  </si>
  <si>
    <t>MARTHA STEWART-EDI/SOFT-TEX MFG CO</t>
  </si>
  <si>
    <t>TOP: 220-THREAD COUNT POLYESTER; BOTTOM; 150-THREAD COUNT POLYESTER; POLYESTER/MEMORY FOAM FILL</t>
  </si>
  <si>
    <t>608356220389</t>
  </si>
  <si>
    <t>DSK 550 ST QNS PNE</t>
  </si>
  <si>
    <t>DLDSTQNSPNE</t>
  </si>
  <si>
    <t>DARK GREEN</t>
  </si>
  <si>
    <t>CHARTER CLUB-EDI/RWI/VTX</t>
  </si>
  <si>
    <t>SUPIMA COTTON</t>
  </si>
  <si>
    <t>675716905361</t>
  </si>
  <si>
    <t>CLOUD F/Q CS BL BASIC</t>
  </si>
  <si>
    <t>UHK13-0020</t>
  </si>
  <si>
    <t>DUVET/SHAM: COTTON; REVERSES TO COTTONPILLOW: COTTON; POLYESTER FILL</t>
  </si>
  <si>
    <t>22415035149</t>
  </si>
  <si>
    <t>AllerEase Ultimate Protection Temperatur White Queen</t>
  </si>
  <si>
    <t>AMERICAN TEXTILE</t>
  </si>
  <si>
    <t>POLYESTER/NYLON</t>
  </si>
  <si>
    <t>675716994037</t>
  </si>
  <si>
    <t>Madison Park Adelyn 3-Pc. KingCalifornia K Ivory KingCalifornia King</t>
  </si>
  <si>
    <t>MP10-4803</t>
  </si>
  <si>
    <t>NATURAL</t>
  </si>
  <si>
    <t>FABRIC: POLYESTER; POLYESTER FILL</t>
  </si>
  <si>
    <t>842164001895</t>
  </si>
  <si>
    <t>Fairfield Square Collection Essex Sateen 1200-Thread Count White King</t>
  </si>
  <si>
    <t>20102104001AQT</t>
  </si>
  <si>
    <t>AQ TEXTILES</t>
  </si>
  <si>
    <t>732996341873</t>
  </si>
  <si>
    <t>Hotel Collection Textured Lattice Cotton 525-Th Blue Queen</t>
  </si>
  <si>
    <t>100054334QN</t>
  </si>
  <si>
    <t>MED BLUE</t>
  </si>
  <si>
    <t>HOTEL COLLECTION-MMG/HIMATSINGKA</t>
  </si>
  <si>
    <t>848742040294</t>
  </si>
  <si>
    <t>Lush Decor Reyna Ruffle 54 x 84 Curtain White 54x84</t>
  </si>
  <si>
    <t>C40294P15-000</t>
  </si>
  <si>
    <t>800298555882</t>
  </si>
  <si>
    <t>GOLD REFLECTION GOLD Q BASIC</t>
  </si>
  <si>
    <t>RFC644549SAP</t>
  </si>
  <si>
    <t>DARK BEIGE</t>
  </si>
  <si>
    <t>DONNA KARAN HOME/CHF INDUSTRIES</t>
  </si>
  <si>
    <t>FACE: POLYESTER/RAYON/SILK; REVERSE: COTTON</t>
  </si>
  <si>
    <t>675716745851</t>
  </si>
  <si>
    <t>Madison Park Madison Park Aubrey Paisley 50 Burgundy 50x108</t>
  </si>
  <si>
    <t>MP40-2680</t>
  </si>
  <si>
    <t>WINE</t>
  </si>
  <si>
    <t>FABRIC: POLYESTER</t>
  </si>
  <si>
    <t>86569897275</t>
  </si>
  <si>
    <t>Madison Park Madison Park Aubrey Paisley 50 Navy 50x108</t>
  </si>
  <si>
    <t>MP40-4898</t>
  </si>
  <si>
    <t>675716745844</t>
  </si>
  <si>
    <t>Madison Park Madison Park Aubrey Paisley 50 Champagne 50x108</t>
  </si>
  <si>
    <t>MP40-2679</t>
  </si>
  <si>
    <t>738980861471</t>
  </si>
  <si>
    <t>HELLEN SHOWER CURTAIN</t>
  </si>
  <si>
    <t>POPULAR BATH PRODUCTS</t>
  </si>
  <si>
    <t>100% COTTON</t>
  </si>
  <si>
    <t>784008134775</t>
  </si>
  <si>
    <t>Ella Jayne 2 Pack Cool N Comfort Gel Fib Blue Queen</t>
  </si>
  <si>
    <t>BMI13851L2</t>
  </si>
  <si>
    <t>QUEEN</t>
  </si>
  <si>
    <t>ELLA JAYNE/PILLOW GUY INC</t>
  </si>
  <si>
    <t>POLYESTER, COOLMAX</t>
  </si>
  <si>
    <t>64247015319</t>
  </si>
  <si>
    <t>SANTOS10054X96 BASIC</t>
  </si>
  <si>
    <t>EH8213-54X96</t>
  </si>
  <si>
    <t>EXCLUSIVE HOME/AMALGAMATED TEXTILES</t>
  </si>
  <si>
    <t>783048110060</t>
  </si>
  <si>
    <t>Cottage Classics Cottage Classics Paisley Bloss Purple King</t>
  </si>
  <si>
    <t>CS3250KG-1500</t>
  </si>
  <si>
    <t>PURPLE</t>
  </si>
  <si>
    <t>675716866174</t>
  </si>
  <si>
    <t>MZ PIPELINE NAVY K/CK CS</t>
  </si>
  <si>
    <t>MZ10-502</t>
  </si>
  <si>
    <t>COMFORTER: PRINTED POLYESTER PEACH SKIN; BRUSHED POLYESTER REVERSE; FILL: POLYESTER SHAM: PRINTED POLYESTER PEACH SKIN; BRUSHED POLYESTER REVERSE DECORATIVE PILLOW: FABRIC/FILL: POLYESTER</t>
  </si>
  <si>
    <t>842491109813</t>
  </si>
  <si>
    <t>7PC BED IN A BAG</t>
  </si>
  <si>
    <t>7PC-BIB-T</t>
  </si>
  <si>
    <t>LT BEIGE</t>
  </si>
  <si>
    <t>SWEET HOME COLLECTION/BED BATH N MO</t>
  </si>
  <si>
    <t>POLYESTER MICROFIBER AND DOWN ALTERNATIVE</t>
  </si>
  <si>
    <t>693614011571</t>
  </si>
  <si>
    <t>Ella Jayne Waterproof and Hypoallergenic White King</t>
  </si>
  <si>
    <t>EJHMPWP4</t>
  </si>
  <si>
    <t>KGMATTRESS</t>
  </si>
  <si>
    <t>100% POLYESTER</t>
  </si>
  <si>
    <t>735732791307</t>
  </si>
  <si>
    <t>HUDSON 4PK 38X84 BASIC</t>
  </si>
  <si>
    <t>HUF-4PN-7684-IN-TAUP</t>
  </si>
  <si>
    <t>MED BEIGE</t>
  </si>
  <si>
    <t>VICTORIA/TEXTILES FROM EUROPE</t>
  </si>
  <si>
    <t>BLACKOUT PANEL: POLYESTER; PUFF PAINT PANEL: POLYESTER/COTTON</t>
  </si>
  <si>
    <t>841643166896</t>
  </si>
  <si>
    <t>Duck River Textile Blair 36 x 84 Leaf Print Bla Stone Blue ONE SIZE</t>
  </si>
  <si>
    <t>BLAIR10078 12</t>
  </si>
  <si>
    <t>846225030947</t>
  </si>
  <si>
    <t>Manor Luxe Manor Luxe Lillie Embroidered White 54x84</t>
  </si>
  <si>
    <t>ML190075484WT</t>
  </si>
  <si>
    <t>83/84DOORP</t>
  </si>
  <si>
    <t>INTREPID INTL TRADING CO LLC</t>
  </si>
  <si>
    <t>86569092885</t>
  </si>
  <si>
    <t>JLA Home Dusty The Dino Twin Quilt 2-Pc Grey Twin</t>
  </si>
  <si>
    <t>MCH14-794</t>
  </si>
  <si>
    <t>POLYESTER; FILL: COTTON/OTHER FIBERS</t>
  </si>
  <si>
    <t>846225027985</t>
  </si>
  <si>
    <t>Manor Luxe Manor Luxe Ella Embroidered Sh White 52x84</t>
  </si>
  <si>
    <t>ML162295084WHITE</t>
  </si>
  <si>
    <t>86569183057</t>
  </si>
  <si>
    <t>SAFARI COMF F/Q BASIC</t>
  </si>
  <si>
    <t>MCH10-1158</t>
  </si>
  <si>
    <t>657812162497</t>
  </si>
  <si>
    <t>Biddeford Electric Velour Sherpa Throw Brick Throw</t>
  </si>
  <si>
    <t>4493-9064229306</t>
  </si>
  <si>
    <t>RED</t>
  </si>
  <si>
    <t>70X52</t>
  </si>
  <si>
    <t>BIDDEFORD BLANKETS LLC</t>
  </si>
  <si>
    <t>726895831221</t>
  </si>
  <si>
    <t>Charter Club Damask Designs Painted Plaid 3 Blue FullQueen</t>
  </si>
  <si>
    <t>100019830FQ</t>
  </si>
  <si>
    <t>MMG-CHARTER CLUB</t>
  </si>
  <si>
    <t>FABRIC: COTTON THREAD COUNT: 300</t>
  </si>
  <si>
    <t>635983500935</t>
  </si>
  <si>
    <t>SIGNATURE PLUSH ALLE BASIC</t>
  </si>
  <si>
    <t>BMI10654L2Q</t>
  </si>
  <si>
    <t>SHELL: 220 THREAD COUNT POLYESTER MICROFIBER, FILL: 100% POLY FIBER DOWN ALTERNATIVE FIBER</t>
  </si>
  <si>
    <t>675716745707</t>
  </si>
  <si>
    <t>MP ANDORA WP BASIC</t>
  </si>
  <si>
    <t>MP40-2673</t>
  </si>
  <si>
    <t>675716745752</t>
  </si>
  <si>
    <t>MP40-2676</t>
  </si>
  <si>
    <t>675716483531</t>
  </si>
  <si>
    <t>Mi Zone Libra 4-Pc. FullQueen Comfort Blue FullQueen</t>
  </si>
  <si>
    <t>MZ10-129</t>
  </si>
  <si>
    <t>COMFORTER/SHAM/PILLOW COVER: POLYESTER; COMFORTER/SHAM FILL: POLYESTER 200 GRAMS PER SQUARE METER; PILLOW FILL: POLYESTER</t>
  </si>
  <si>
    <t>706258965626</t>
  </si>
  <si>
    <t>Hotel Collection Diamond Embroidered King Sham White King Sham</t>
  </si>
  <si>
    <t>1008255KG</t>
  </si>
  <si>
    <t>HOTEL BY CC-EDI/RWI/SARITA HANDA</t>
  </si>
  <si>
    <t>FABRIC: COTTON</t>
  </si>
  <si>
    <t>849657013892</t>
  </si>
  <si>
    <t>Rod Desyne Luna Double Curtain Rod 28-48 Cocoa 28-48in</t>
  </si>
  <si>
    <t>5710-287D</t>
  </si>
  <si>
    <t>MED BROWN</t>
  </si>
  <si>
    <t>STEEL; RESIN FINIALS</t>
  </si>
  <si>
    <t>732994260145</t>
  </si>
  <si>
    <t>Martha Stewart Collection Quilted Velvet 26 Square Deco Grey European</t>
  </si>
  <si>
    <t>VLTEUROGR</t>
  </si>
  <si>
    <t>MED GRAY</t>
  </si>
  <si>
    <t>MARTHA STEWART-EDI/BALTIC LINENS</t>
  </si>
  <si>
    <t>732994569286</t>
  </si>
  <si>
    <t>Martha Stewart Collection Quilted Velvet 26 Square Deco Ivory European</t>
  </si>
  <si>
    <t>VLTEUROIV</t>
  </si>
  <si>
    <t>675716716424</t>
  </si>
  <si>
    <t>Madison Park Bernard 3-Pc. KingCalifornia Red KingCalifornia King</t>
  </si>
  <si>
    <t>BASI10-0400</t>
  </si>
  <si>
    <t>800298644296</t>
  </si>
  <si>
    <t>AIRE KG SHAM</t>
  </si>
  <si>
    <t>AIR001597SAJ</t>
  </si>
  <si>
    <t>KGTAILORED</t>
  </si>
  <si>
    <t>47293345395</t>
  </si>
  <si>
    <t>TAUP SOFT SUEDE BASIC</t>
  </si>
  <si>
    <t>170327246233SFCHR</t>
  </si>
  <si>
    <t>SURE FIT HOME PRODUCTS LLC</t>
  </si>
  <si>
    <t>25695921560</t>
  </si>
  <si>
    <t>LRL TRILOGY FEAT/DOW S/QBASIC</t>
  </si>
  <si>
    <t>LAUREN RALPH LAUREN/HOLLANDER SLEEP</t>
  </si>
  <si>
    <t>300 THREAD COUNT COTTON; DOWN/FEATHER FILL</t>
  </si>
  <si>
    <t>735732793356</t>
  </si>
  <si>
    <t>KRISTA PPR 38X96</t>
  </si>
  <si>
    <t>R1S-PPR-7696-IN-CHAR</t>
  </si>
  <si>
    <t>MICROFIBER</t>
  </si>
  <si>
    <t>38992897841</t>
  </si>
  <si>
    <t>Waterford Paloma 12 x 24 Decorative Pi Ivory ONE SIZE</t>
  </si>
  <si>
    <t>DPPLMAW10212X24</t>
  </si>
  <si>
    <t>WATERFORD/W-C HOME FASHIONS LLC</t>
  </si>
  <si>
    <t>COTTON; FILL: POLYESTER</t>
  </si>
  <si>
    <t>675716575786</t>
  </si>
  <si>
    <t>Intelligent Design Nadia 5-Pc. FullQueen Duvet C Teal FullQueen</t>
  </si>
  <si>
    <t>ID12-229</t>
  </si>
  <si>
    <t>MED GREEN</t>
  </si>
  <si>
    <t>FABRIC: POLYESTER; PILLOW FILL: POLYESTER</t>
  </si>
  <si>
    <t>80166187890</t>
  </si>
  <si>
    <t>Bacova Cashlon Tonal Vine Gold 27 x Tonal Vine Gold</t>
  </si>
  <si>
    <t>BACOVA GUILD LTD/RONILE INC</t>
  </si>
  <si>
    <t>MICRO POLYESTER / LATEX BACKING</t>
  </si>
  <si>
    <t>635797412448</t>
  </si>
  <si>
    <t>Joluzzy Waterproof Mattress Protector, White King</t>
  </si>
  <si>
    <t>MP100</t>
  </si>
  <si>
    <t>L&amp;K GOODS DBA JOLUZZY</t>
  </si>
  <si>
    <t>COTTON, POLYURETHANE</t>
  </si>
  <si>
    <t>841643168883</t>
  </si>
  <si>
    <t>Duck River Textile Tayla 36 x 84 Tonal Geometri Taupe ONE SIZE</t>
  </si>
  <si>
    <t>TAYLA11603D 12</t>
  </si>
  <si>
    <t>BEIGEKHAKI</t>
  </si>
  <si>
    <t>735732570353</t>
  </si>
  <si>
    <t>VCNY Home Alaina 50x108 Window Panel Silver 50x108</t>
  </si>
  <si>
    <t>ALN-PNL-5108-IN-SILV</t>
  </si>
  <si>
    <t>0 E</t>
  </si>
  <si>
    <t>675716502997</t>
  </si>
  <si>
    <t>Madison Park Madison Park Andora 50 x 95 White 50x95</t>
  </si>
  <si>
    <t>MP40-718</t>
  </si>
  <si>
    <t>95 SGL</t>
  </si>
  <si>
    <t>628961001029</t>
  </si>
  <si>
    <t>Small World Home Canvas 18 x 18 Decorative Pi Yellow 18x18</t>
  </si>
  <si>
    <t>JET9427</t>
  </si>
  <si>
    <t>LT/PAS YEL</t>
  </si>
  <si>
    <t>12 SGL</t>
  </si>
  <si>
    <t>JETRICH CANADA LIMITED</t>
  </si>
  <si>
    <t>730462118226</t>
  </si>
  <si>
    <t>Ellis Curtain Brissac 70 x 17 Lined Scallo Blue 70x17</t>
  </si>
  <si>
    <t>892- BLU-2</t>
  </si>
  <si>
    <t>ELLIS CURTAIN/A L ELLIS INC</t>
  </si>
  <si>
    <t>675716841324</t>
  </si>
  <si>
    <t>AVERIL 50X95 PANEL GREY BASIC</t>
  </si>
  <si>
    <t>MP40-3596</t>
  </si>
  <si>
    <t>FABRIC: RAYON/POLYESTER</t>
  </si>
  <si>
    <t>675716774134</t>
  </si>
  <si>
    <t>Madison Park Averil 50 x 95 Sheer Burnout White 50x95</t>
  </si>
  <si>
    <t>MP40-3008</t>
  </si>
  <si>
    <t>696445170950</t>
  </si>
  <si>
    <t>KAS FOGLIA TAUP S/C 72X7BASIC</t>
  </si>
  <si>
    <t>SFG-115</t>
  </si>
  <si>
    <t>KASSATEX INC</t>
  </si>
  <si>
    <t>732997123997</t>
  </si>
  <si>
    <t>Lucky Brand All Tassel 18 x 18 Decorativ Red 18x18</t>
  </si>
  <si>
    <t>LUCKY - MMG</t>
  </si>
  <si>
    <t>89786381558</t>
  </si>
  <si>
    <t>Creative Bath Sheer Ruffles Shower Curtain White</t>
  </si>
  <si>
    <t>S0892WH</t>
  </si>
  <si>
    <t>NO SIZE</t>
  </si>
  <si>
    <t>CREATIVE BATH PRODUCTS</t>
  </si>
  <si>
    <t>86569150509</t>
  </si>
  <si>
    <t>Intelligent Design Raina Metallic-Print 50 x 84 Ivory 50x84</t>
  </si>
  <si>
    <t>ID40-1614</t>
  </si>
  <si>
    <t>86569005755</t>
  </si>
  <si>
    <t>Intelligent Design Raina Metallic-Print 50 x 84 Grey 50x84</t>
  </si>
  <si>
    <t>ID40-1405</t>
  </si>
  <si>
    <t>83013309940</t>
  </si>
  <si>
    <t>ROENA BDR DEC</t>
  </si>
  <si>
    <t>2A0-530C0-7030</t>
  </si>
  <si>
    <t>DARK RED</t>
  </si>
  <si>
    <t>EX-CELL HOME FASHIONS INC</t>
  </si>
  <si>
    <t>83013076750</t>
  </si>
  <si>
    <t>GALLERIA EURO SHAM BASIC</t>
  </si>
  <si>
    <t>2A0-502O0-6406</t>
  </si>
  <si>
    <t>645470188621</t>
  </si>
  <si>
    <t>Modern Threads 2 Pack Black Out Curtains Ivory</t>
  </si>
  <si>
    <t>5BOCRTNG-IVY-96</t>
  </si>
  <si>
    <t>AMRAPUR OVERSEAS INC</t>
  </si>
  <si>
    <t>732995003062</t>
  </si>
  <si>
    <t>Lucky Brand Embroidered Floral 260-Thread Sand 16x20</t>
  </si>
  <si>
    <t>675716846176</t>
  </si>
  <si>
    <t>Intelligent Design Adel 50x84 Printed Blackout W Yellow 50x84</t>
  </si>
  <si>
    <t>ID40-1014</t>
  </si>
  <si>
    <t>YELLOW</t>
  </si>
  <si>
    <t>783048093394</t>
  </si>
  <si>
    <t>Truly Soft Maddow Stripe Window Curtain, Grey ONE SIZE</t>
  </si>
  <si>
    <t>EC3069GY-4100</t>
  </si>
  <si>
    <t>83/84 SGL</t>
  </si>
  <si>
    <t>819254022481</t>
  </si>
  <si>
    <t>Gizmo Kids Flutter 3-Piece Comforter Set, Multi Full</t>
  </si>
  <si>
    <t>GK23FT0252</t>
  </si>
  <si>
    <t>SARA B R27EN/NEW SEGA HOME TEXTILES</t>
  </si>
  <si>
    <t>80166030370</t>
  </si>
  <si>
    <t>BAC RIDGES GRY 28.3X46</t>
  </si>
  <si>
    <t>80166030288</t>
  </si>
  <si>
    <t>BAC RIDGES BRN 28.3X46</t>
  </si>
  <si>
    <t>675716999582</t>
  </si>
  <si>
    <t>Madison Park Reversible Ruched Faux-Fur Thr Lavender Throw</t>
  </si>
  <si>
    <t>MP50-4876</t>
  </si>
  <si>
    <t>LT/PAS PUR</t>
  </si>
  <si>
    <t>VALA78X7</t>
  </si>
  <si>
    <t>675716573096</t>
  </si>
  <si>
    <t>Madison Park Madison Park Andora 50 x 84 Grey 50x84</t>
  </si>
  <si>
    <t>MP40-1296</t>
  </si>
  <si>
    <t>628961001036</t>
  </si>
  <si>
    <t>Small World Home 16 x 24 Decorative Pillow Natural 16x24</t>
  </si>
  <si>
    <t>JET9428</t>
  </si>
  <si>
    <t>16X24</t>
  </si>
  <si>
    <t>86569170651</t>
  </si>
  <si>
    <t>MELODY</t>
  </si>
  <si>
    <t>MCH70-1138</t>
  </si>
  <si>
    <t>675716716356</t>
  </si>
  <si>
    <t>SARATOGA 72X72 SC SF</t>
  </si>
  <si>
    <t>MP70-2427</t>
  </si>
  <si>
    <t>68% POLYESTER, 29% COTTON , 3% RAYON</t>
  </si>
  <si>
    <t>JLA Home Melody 72 x 72 Shower Curtai Purple 72X72</t>
  </si>
  <si>
    <t>678298236397</t>
  </si>
  <si>
    <t>Regal Home Regal Home Embroidered Lattice Tan 108 x 50</t>
  </si>
  <si>
    <t>EMBL50108</t>
  </si>
  <si>
    <t>108X9X48/4</t>
  </si>
  <si>
    <t>REGAL HOME COLLECTIONS INC</t>
  </si>
  <si>
    <t>675716908072</t>
  </si>
  <si>
    <t>Madison Park Serene 50 x 84 Colorblocked Navy 50x84</t>
  </si>
  <si>
    <t>MP40-4209</t>
  </si>
  <si>
    <t>849657012956</t>
  </si>
  <si>
    <t>Rod Desyne Rod Desyne Tilly Single Curtai Satin Nickel 28-48in</t>
  </si>
  <si>
    <t>5709-285</t>
  </si>
  <si>
    <t>608356646691</t>
  </si>
  <si>
    <t>Lucky Brand Cotton Tile Seed Stitch Europe Grey European Sham</t>
  </si>
  <si>
    <t>10028950ER</t>
  </si>
  <si>
    <t>675716866204</t>
  </si>
  <si>
    <t>PIPELINE T/TXL 3PC DUV BASIC</t>
  </si>
  <si>
    <t>MZ12-503</t>
  </si>
  <si>
    <t>DUVET COVER/SHAM/PILLOW COVER: POLYESTER; PILLOW FILL: POLYESTER</t>
  </si>
  <si>
    <t>732995106572</t>
  </si>
  <si>
    <t>Martha Stewart Collection 50 x 60 Ruffle Ivory Throw Pink Throw</t>
  </si>
  <si>
    <t>LT/PASPINK</t>
  </si>
  <si>
    <t>MMG-MARTHA STEW/CHANGZHOU LIAOYUAN</t>
  </si>
  <si>
    <t>ACRYLIC</t>
  </si>
  <si>
    <t>190714278892</t>
  </si>
  <si>
    <t>ALETTA THROW BASIC</t>
  </si>
  <si>
    <t>1121923DRIGR50X60</t>
  </si>
  <si>
    <t>ENVOGUE INTERNATIONAL LLC</t>
  </si>
  <si>
    <t>26865545937</t>
  </si>
  <si>
    <t>EL CACHET CARAMEL 84'' BASIC</t>
  </si>
  <si>
    <t>34621CML</t>
  </si>
  <si>
    <t>BEIGE</t>
  </si>
  <si>
    <t>ELRENE HOME FASHIONS</t>
  </si>
  <si>
    <t>POLYESTER FAUX SILK</t>
  </si>
  <si>
    <t>675716714987</t>
  </si>
  <si>
    <t>Madison Park Emilia 50 x 95 Lined Faux-Si Spice 50x95</t>
  </si>
  <si>
    <t>MP40-2414</t>
  </si>
  <si>
    <t>DARKORANGE</t>
  </si>
  <si>
    <t>FAKE-SILK FABRIC AND LINING: POLYESTER</t>
  </si>
  <si>
    <t>628961000381</t>
  </si>
  <si>
    <t>Kensington Garden Sheffield Chenille 50 x 60 K Navy 50x60</t>
  </si>
  <si>
    <t>JET9191</t>
  </si>
  <si>
    <t>709271422800</t>
  </si>
  <si>
    <t>Calvin Klein Modern Cotton Print Pair of Ki Marble King Pillowcases</t>
  </si>
  <si>
    <t>1110018-KG-M1-D6</t>
  </si>
  <si>
    <t>COTTON/MODAL</t>
  </si>
  <si>
    <t>636206358234</t>
  </si>
  <si>
    <t>Martha Stewart Collection 300-Thread Count 3-Pc. Twin Sh Pewter Grey Twin</t>
  </si>
  <si>
    <t>T3ORGTWPWT</t>
  </si>
  <si>
    <t>MARTHA STEWART-EDI/RWI/WELSPUN</t>
  </si>
  <si>
    <t>ALL COTTON</t>
  </si>
  <si>
    <t>846339061134</t>
  </si>
  <si>
    <t>Piper Wright Rosalie Boudoir 20 x 12 Deco Pink</t>
  </si>
  <si>
    <t>1986036BOUDR</t>
  </si>
  <si>
    <t>MED PINK</t>
  </si>
  <si>
    <t>PIPER AND WRIGHT/J QUEEN NEW YORK</t>
  </si>
  <si>
    <t>746885386685</t>
  </si>
  <si>
    <t>Miller Curtains Kailey 50 x 95 Grommet Panel NaturalGold 50x95</t>
  </si>
  <si>
    <t>MCKO69101095</t>
  </si>
  <si>
    <t>NATCO/WINDHAM WEAVE/WINDHAM TRADING</t>
  </si>
  <si>
    <t>POLYESTER/LINEN</t>
  </si>
  <si>
    <t>706258353935</t>
  </si>
  <si>
    <t>Charter Club Damask Designs Pima Cotton Pop Poppy European Sham</t>
  </si>
  <si>
    <t>DEUCSCLPOP</t>
  </si>
  <si>
    <t>100% PIMA COTTON</t>
  </si>
  <si>
    <t>675716467265</t>
  </si>
  <si>
    <t>Madison Park Duke Ribbed 50 x 60 Faux-Fur Black 50x60</t>
  </si>
  <si>
    <t>MP50-453</t>
  </si>
  <si>
    <t>BLACK</t>
  </si>
  <si>
    <t>BODY: POLYESTER;</t>
  </si>
  <si>
    <t>675716630829</t>
  </si>
  <si>
    <t>Madison Park Duke Ribbed 50 x 60 Faux-Fur Gray 50x60</t>
  </si>
  <si>
    <t>MP50-1593</t>
  </si>
  <si>
    <t>678298236359</t>
  </si>
  <si>
    <t>Regal Home Regal Home Embroidered Lattice Tan 95 x 50</t>
  </si>
  <si>
    <t>EMBL5095</t>
  </si>
  <si>
    <t>678298236335</t>
  </si>
  <si>
    <t>Regal Home Regal Home Embroidered Lattice Ivory 95 x 50</t>
  </si>
  <si>
    <t>81806449453</t>
  </si>
  <si>
    <t>Hudson Hill Orbit 50 x 84 Grommet Window Blue 50x84</t>
  </si>
  <si>
    <t>FZR02KCB2BLU</t>
  </si>
  <si>
    <t>KEECO LLC/GRASSI ASSOCIATES INC</t>
  </si>
  <si>
    <t>FABRIC: COTTON; LINER: POLYESTER/COTTON</t>
  </si>
  <si>
    <t>86569157812</t>
  </si>
  <si>
    <t>JLA Home Atlantic Mosaic 5.71 x 6.3 T Blue No Size</t>
  </si>
  <si>
    <t>MCH71-1102</t>
  </si>
  <si>
    <t>635797412271</t>
  </si>
  <si>
    <t>Joluzzy Waterproof Mattress Protector, White Twin</t>
  </si>
  <si>
    <t>RTMATTRESS</t>
  </si>
  <si>
    <t>54006630464</t>
  </si>
  <si>
    <t>Achim Panache 55x84 TN Burgundy 55x84</t>
  </si>
  <si>
    <t>PAPN84BU12</t>
  </si>
  <si>
    <t>MEDIUM RED</t>
  </si>
  <si>
    <t>ACHIM IMPORTING CO INC</t>
  </si>
  <si>
    <t>54006241424</t>
  </si>
  <si>
    <t>TRANQUI 50X84 GR BASIC</t>
  </si>
  <si>
    <t>TQPN84GR06</t>
  </si>
  <si>
    <t>GREEN</t>
  </si>
  <si>
    <t>86569930842</t>
  </si>
  <si>
    <t>JLA Home Cape Mosaic Tissue Cover Gold</t>
  </si>
  <si>
    <t>MCH71-500</t>
  </si>
  <si>
    <t>29927528411</t>
  </si>
  <si>
    <t>SZ MARITZA 52X84 LIN BASIC</t>
  </si>
  <si>
    <t>S LICHTENBERG &amp; CO.</t>
  </si>
  <si>
    <t>190714278861</t>
  </si>
  <si>
    <t>ESTA PLW BASIC</t>
  </si>
  <si>
    <t>1121920MULTI20X20</t>
  </si>
  <si>
    <t>783048998538</t>
  </si>
  <si>
    <t>Truly Soft Truly Soft Everyday White Full Navy FullQueen</t>
  </si>
  <si>
    <t>DCS1657NVQ-1800</t>
  </si>
  <si>
    <t>TURQ/AQUA</t>
  </si>
  <si>
    <t>100% MICROFIBER POLYESTER.</t>
  </si>
  <si>
    <t>732998074304</t>
  </si>
  <si>
    <t>Martha Stewart Collection Martha Stewart Collection Tuft Grey European Sham</t>
  </si>
  <si>
    <t>100064584ER</t>
  </si>
  <si>
    <t>BCP INC/MARTHA STEWART-MMG</t>
  </si>
  <si>
    <t>86569111210</t>
  </si>
  <si>
    <t>JLA Home Fiona 72 x 72 Shower Curtain Blush 72X72</t>
  </si>
  <si>
    <t>MCH70-986</t>
  </si>
  <si>
    <t>PINK</t>
  </si>
  <si>
    <t>POLYESTER 85GSM</t>
  </si>
  <si>
    <t>42694385209</t>
  </si>
  <si>
    <t>Mohawk Cherish 20 x 34 Bath Rug Sedona Red 20x34</t>
  </si>
  <si>
    <t>Y3260-286-020034</t>
  </si>
  <si>
    <t>34X20</t>
  </si>
  <si>
    <t>AMERICAN RUG-MOHAWK INDUSTRIES</t>
  </si>
  <si>
    <t>FABRIC: POLYESTER; LATEX BACK</t>
  </si>
  <si>
    <t>42694385193</t>
  </si>
  <si>
    <t>Mohawk Cherish 20 x 34 Bath Rug Dark Beige 20x34</t>
  </si>
  <si>
    <t>Y3260-630-020034</t>
  </si>
  <si>
    <t>80166735299</t>
  </si>
  <si>
    <t>Bacova Reliance Eastly Rectangle 28 Multi-colo</t>
  </si>
  <si>
    <t>OLEFIN FACE WITH ATEX BACK</t>
  </si>
  <si>
    <t>BAC KCH EASTLY REC 28X46BASIC</t>
  </si>
  <si>
    <t>791551648932</t>
  </si>
  <si>
    <t>BRK CLASSIC PLUM K</t>
  </si>
  <si>
    <t>16533-KG-81P</t>
  </si>
  <si>
    <t>BERKSHIRE BLANKET</t>
  </si>
  <si>
    <t>FAUX FLEECE: POLYESTER</t>
  </si>
  <si>
    <t>86569916822</t>
  </si>
  <si>
    <t>Madison Park Aubrey 50 x 18 Beaded Jacqua Black 50x18</t>
  </si>
  <si>
    <t>MP41-4989</t>
  </si>
  <si>
    <t>100% POLYESTER JACQUARD, LINING: 100% POLYESTER, TRIMS: GOLD BEADS</t>
  </si>
  <si>
    <t>675716772574</t>
  </si>
  <si>
    <t>Madison Park Duke 20 Square Faux-Fur Decor Brown 20x20</t>
  </si>
  <si>
    <t>MP30-2999</t>
  </si>
  <si>
    <t>20X20</t>
  </si>
  <si>
    <t>FAUX-FUR FACE: POLYESTER 300 GRAMS PER SQUARE METER; FAUX-FUR REVERSE: POLYESTER 180 GRAMS PER SQUARE METER; POLYESTER FILL</t>
  </si>
  <si>
    <t>86569916853</t>
  </si>
  <si>
    <t>Madison Park Aubrey 50 x 18 Beaded Jacqua Burgundy 50x18</t>
  </si>
  <si>
    <t>MP41-4991</t>
  </si>
  <si>
    <t>86569916839</t>
  </si>
  <si>
    <t>Madison Park Aubrey 50 x 18 Beaded Jacqua Champagne 50x18</t>
  </si>
  <si>
    <t>MP41-4990</t>
  </si>
  <si>
    <t>675716774172</t>
  </si>
  <si>
    <t>Madison Park Anaya 50x63 Window Curtain Bluebrown 50x63</t>
  </si>
  <si>
    <t>MP40-3010</t>
  </si>
  <si>
    <t>54006629819</t>
  </si>
  <si>
    <t>Achim BuffloChck 42x84 YL Navy 42x84</t>
  </si>
  <si>
    <t>BCPN84NY12</t>
  </si>
  <si>
    <t>60% POLYESTER-40% COTTON</t>
  </si>
  <si>
    <t>81806448609</t>
  </si>
  <si>
    <t>TRELLIS GREY 84 BASIC</t>
  </si>
  <si>
    <t>FZR02KFB2GRY</t>
  </si>
  <si>
    <t>799665834548</t>
  </si>
  <si>
    <t>Exclusive Fabrics Furnishing Exclusive Fabrics Furnishing Florentina Silver 50 x 84</t>
  </si>
  <si>
    <t>SHCH-EMB20131B-84</t>
  </si>
  <si>
    <t>EXCLUSIVE FABRICS &amp; FURNISHINGS LLC</t>
  </si>
  <si>
    <t>29927477573</t>
  </si>
  <si>
    <t>Sun Zero Sun Zero Grant 54 x 95 Gromm Taupe 54x95</t>
  </si>
  <si>
    <t>734737535855</t>
  </si>
  <si>
    <t>Sunham Heavenly Touch 21x 34 Tufte Mint 21 x 34</t>
  </si>
  <si>
    <t>R4395AG1522134</t>
  </si>
  <si>
    <t>SUNHAM CO USA</t>
  </si>
  <si>
    <t>746885385787</t>
  </si>
  <si>
    <t>Miller Curtains Arlen 50 x 95 Grommet Panel Natural 50x95</t>
  </si>
  <si>
    <t>MCKO69204295</t>
  </si>
  <si>
    <t>POLYESTER/COTTON/LINEN</t>
  </si>
  <si>
    <t>746885401586</t>
  </si>
  <si>
    <t>Miller Curtains Savara Cotton 50 x 84 Waterc Graphite 50x84</t>
  </si>
  <si>
    <t>MC00X72510684</t>
  </si>
  <si>
    <t>CHARCOAL</t>
  </si>
  <si>
    <t>86569897282</t>
  </si>
  <si>
    <t>Madison Park Madison Park Aubrey Paisley 50 Navy 50x18</t>
  </si>
  <si>
    <t>MP41-4899</t>
  </si>
  <si>
    <t>54006245019</t>
  </si>
  <si>
    <t>WILLOW 42X63 TF BASIC</t>
  </si>
  <si>
    <t>WIPN63TF06</t>
  </si>
  <si>
    <t>734737573079</t>
  </si>
  <si>
    <t>Silken Slumber Solid Champagne Eyemask Gold ONE SIZE</t>
  </si>
  <si>
    <t>19676EM</t>
  </si>
  <si>
    <t>OSFA REG</t>
  </si>
  <si>
    <t>ALL SILK</t>
  </si>
  <si>
    <t>734737572959</t>
  </si>
  <si>
    <t>Silken Slumber Solid Champagne Eyemask Blush ONE SIZE</t>
  </si>
  <si>
    <t>19672EM</t>
  </si>
  <si>
    <t>734737573048</t>
  </si>
  <si>
    <t>Silken Slumber Solid Champagne Eyemask Midnight Blue ONE SIZE</t>
  </si>
  <si>
    <t>19675EM</t>
  </si>
  <si>
    <t>734737572980</t>
  </si>
  <si>
    <t>Silken Slumber Solid Champagne Eyemask Black ONE SIZE</t>
  </si>
  <si>
    <t>19673EM</t>
  </si>
  <si>
    <t>734737572928</t>
  </si>
  <si>
    <t>Silken Slumber Solid Champagne Eyemask Gray ONE SIZE</t>
  </si>
  <si>
    <t>19671EM</t>
  </si>
  <si>
    <t>734737573017</t>
  </si>
  <si>
    <t>Silken Slumber Solid Champagne Eyemask Merlot ONE SIZE</t>
  </si>
  <si>
    <t>19674EM</t>
  </si>
  <si>
    <t>675716602161</t>
  </si>
  <si>
    <t>Madison Park Madison Park Aubrey Paisley 50 Champagne 50x18</t>
  </si>
  <si>
    <t>MP41-1456</t>
  </si>
  <si>
    <t>675716996895</t>
  </si>
  <si>
    <t>Madison Park Zuri Faux-Fur 20 Square Decor Sand 20x20</t>
  </si>
  <si>
    <t>MP30-4814</t>
  </si>
  <si>
    <t>885308458735</t>
  </si>
  <si>
    <t>Waverly Waverly Spring Bling Window Cu Vapor ONE SIZE</t>
  </si>
  <si>
    <t>15954052063VPR</t>
  </si>
  <si>
    <t>732995096057</t>
  </si>
  <si>
    <t>Martha Stewart Collection Windmill Artisan Standard Sham Grey Standard Sham</t>
  </si>
  <si>
    <t>100047327ST</t>
  </si>
  <si>
    <t>91116713632</t>
  </si>
  <si>
    <t>Sanders Embossed 4-Pc. King Sheet Set Taupe King</t>
  </si>
  <si>
    <t>LEFSSK</t>
  </si>
  <si>
    <t>COZY HOME FASHION/SANDER SALES ENT</t>
  </si>
  <si>
    <t>783048998637</t>
  </si>
  <si>
    <t>TSE GREY F SHEET SET</t>
  </si>
  <si>
    <t>SS1658GYFU-4700</t>
  </si>
  <si>
    <t>885308409003</t>
  </si>
  <si>
    <t>Eclipse Kendall Blackout Window Curtai Pool 42x95</t>
  </si>
  <si>
    <t>10707042X095POL</t>
  </si>
  <si>
    <t>BLUE</t>
  </si>
  <si>
    <t>190714309206</t>
  </si>
  <si>
    <t>GET COZY PILLOW</t>
  </si>
  <si>
    <t>1123716GRN14X24</t>
  </si>
  <si>
    <t>Lacourte Get Cozy 14 x 24 Decorative Green 14x24</t>
  </si>
  <si>
    <t>732997832431</t>
  </si>
  <si>
    <t>VLVT FLRSH EURO</t>
  </si>
  <si>
    <t>100084051ER</t>
  </si>
  <si>
    <t>80166090206</t>
  </si>
  <si>
    <t>JS MOLLINS 27X45 MULTI</t>
  </si>
  <si>
    <t>09020E</t>
  </si>
  <si>
    <t>675716783525</t>
  </si>
  <si>
    <t>INKIVY Bree Chunky-Knit 12 x 20 Obl Ivory 12x20</t>
  </si>
  <si>
    <t>II30-740</t>
  </si>
  <si>
    <t>FABRIC: ACRYLIC 410 GRAMS PER SQUARE METER; LINING: COTTON</t>
  </si>
  <si>
    <t>735732743825</t>
  </si>
  <si>
    <t>TXTR HRBNE THRW GREY BASIC</t>
  </si>
  <si>
    <t>T3X-THR-5060-MA-ANTR</t>
  </si>
  <si>
    <t>746885369121</t>
  </si>
  <si>
    <t>Miller Curtains Preston 48 x 95 Window Panel Stone Grey 48x95</t>
  </si>
  <si>
    <t>703444K4A140</t>
  </si>
  <si>
    <t>29927435108</t>
  </si>
  <si>
    <t>Sun Zero Sun Zero Grant 54 x 63 Gromm Taupe 54x63</t>
  </si>
  <si>
    <t>GRANT</t>
  </si>
  <si>
    <t>96675210042</t>
  </si>
  <si>
    <t>SensorPEDIC On-The-Go Gel-Infused Memory F White ONE SIZE</t>
  </si>
  <si>
    <t>SOFT-TEX MFG CO/SOFT-TEX INT'L INC</t>
  </si>
  <si>
    <t>FABRIC: POLYESTER; FILL: MEMORY FOAM</t>
  </si>
  <si>
    <t>29927433425</t>
  </si>
  <si>
    <t>No. 918 Montego 48 x 84 Grommet Top Yellow 48x84</t>
  </si>
  <si>
    <t>84X7X48/4</t>
  </si>
  <si>
    <t>21166123815</t>
  </si>
  <si>
    <t>CURTAIN PANEL</t>
  </si>
  <si>
    <t>UNIVERSAL HOME FASH/WELCOME INDUST</t>
  </si>
  <si>
    <t>80166020371</t>
  </si>
  <si>
    <t>BAC RIDGES GRY 19.7X32.8</t>
  </si>
  <si>
    <t>732997452349</t>
  </si>
  <si>
    <t>SILKY SATIN SHAM BASIC</t>
  </si>
  <si>
    <t>100064584ST</t>
  </si>
  <si>
    <t>732997452356</t>
  </si>
  <si>
    <t>732997796740</t>
  </si>
  <si>
    <t>726895453126</t>
  </si>
  <si>
    <t>Martha Stewart Collection Essentials 3-Pc. Printed Micro Climbing Vine Twin XL</t>
  </si>
  <si>
    <t>10016514TX</t>
  </si>
  <si>
    <t>LT/PAS GRN</t>
  </si>
  <si>
    <t>MARTHA S-EDI/RWI/PEM-SHEETS</t>
  </si>
  <si>
    <t>85214093765</t>
  </si>
  <si>
    <t>Disney Minnie Mouse Hello Gorgeous Em Pink</t>
  </si>
  <si>
    <t>NOJO BABY &amp; KIDS INC</t>
  </si>
  <si>
    <t>91116713618</t>
  </si>
  <si>
    <t>Sanders Embossed 4-Pc. Full Sheet Set Taupe Full</t>
  </si>
  <si>
    <t>LEFSSF</t>
  </si>
  <si>
    <t>732997431115</t>
  </si>
  <si>
    <t>VLVT CHN STCH SHAM</t>
  </si>
  <si>
    <t>100071392ST</t>
  </si>
  <si>
    <t>POLYESTER/COTTON</t>
  </si>
  <si>
    <t>29927440539</t>
  </si>
  <si>
    <t>No. 918 Clifford Tab Top 40 x 84 Pan Ecru 40x84</t>
  </si>
  <si>
    <t>40X84/7</t>
  </si>
  <si>
    <t>96675210011</t>
  </si>
  <si>
    <t>36326532932</t>
  </si>
  <si>
    <t>Saturday Knight Hopscotch Check 58 x 13 Vala Tan 58x13</t>
  </si>
  <si>
    <t>SATURDAY KNIGHT LTD</t>
  </si>
  <si>
    <t>36326505028</t>
  </si>
  <si>
    <t>Saturday Knight Hopscotch Check 58 x 13 Vala Neutral 58x13</t>
  </si>
  <si>
    <t>VALA15X52</t>
  </si>
  <si>
    <t>86569092816</t>
  </si>
  <si>
    <t>JLA Home Urban Dreams Verona Shaped Dec Multi ONE SIZE</t>
  </si>
  <si>
    <t>MCH30-787</t>
  </si>
  <si>
    <t>706258090687</t>
  </si>
  <si>
    <t>DMSK 550 KGH WHT</t>
  </si>
  <si>
    <t>DLLSTKGHWHT</t>
  </si>
  <si>
    <t>42075512101</t>
  </si>
  <si>
    <t>Dream Factory Brushstroke Dot 18 Square Dec Navy</t>
  </si>
  <si>
    <t>2-23070XNY</t>
  </si>
  <si>
    <t>732997452387</t>
  </si>
  <si>
    <t>VLVT FLRSH SHAM</t>
  </si>
  <si>
    <t>100020063ST</t>
  </si>
  <si>
    <t>POLYESTER/SPANDEX/COTTON; FILL: COTTON</t>
  </si>
  <si>
    <t>732997452394</t>
  </si>
  <si>
    <t>732994477284</t>
  </si>
  <si>
    <t>Martha Stewart Collection Box Plaid Reversible Yarn-Dyed Grey Standard Sham</t>
  </si>
  <si>
    <t>BOXPLDST</t>
  </si>
  <si>
    <t>47293354618</t>
  </si>
  <si>
    <t>Sure Fit Scroll Slipcover, Dining Room Champagne Chair Slipcover</t>
  </si>
  <si>
    <t>173925236C</t>
  </si>
  <si>
    <t>COTTON/POLYESTER</t>
  </si>
  <si>
    <t>85214108865</t>
  </si>
  <si>
    <t>Carters Cotton Sateen Fitted Crib Shee White</t>
  </si>
  <si>
    <t>91116709666</t>
  </si>
  <si>
    <t>Jessica Sanders Solid Microfiber Twin XL Sheet White Twin XL</t>
  </si>
  <si>
    <t>SBTSSX</t>
  </si>
  <si>
    <t>735732803604</t>
  </si>
  <si>
    <t>Victoria Classics Infinity 55 x 63 Sheer Panel Ivory 55x63</t>
  </si>
  <si>
    <t>INY63IV</t>
  </si>
  <si>
    <t>746885368889</t>
  </si>
  <si>
    <t>Miller Curtains Window Treatments, Preston Rod Crimson 51x95</t>
  </si>
  <si>
    <t>WC70344427795</t>
  </si>
  <si>
    <t>99446304964</t>
  </si>
  <si>
    <t>TUE1A938 BK 32X19</t>
  </si>
  <si>
    <t>FRMWFRM01GREY027045</t>
  </si>
  <si>
    <t>NOURISON INDUSTRIES INC</t>
  </si>
  <si>
    <t>99446305053</t>
  </si>
  <si>
    <t>TUE1A659 BEIGE 32X19</t>
  </si>
  <si>
    <t>FRMWFRM01TAU027045</t>
  </si>
  <si>
    <t>680656136485</t>
  </si>
  <si>
    <t>Decopolitan Montevilla Bell Holdback for C Silver</t>
  </si>
  <si>
    <t>26867-2 HB6485</t>
  </si>
  <si>
    <t>DECOPOLITAN/BEME INTERNATIONAL LLC</t>
  </si>
  <si>
    <t>METAL</t>
  </si>
  <si>
    <t>726895721768</t>
  </si>
  <si>
    <t>T4 TENCEL SP</t>
  </si>
  <si>
    <t>10011969SP</t>
  </si>
  <si>
    <t>CHARTER CLUB-EDI/RWI/WELSPUN</t>
  </si>
  <si>
    <t>COTTON/TENCEL®</t>
  </si>
  <si>
    <t>726895721751</t>
  </si>
  <si>
    <t>732994459433</t>
  </si>
  <si>
    <t>Martha Stewart Collection Chenille Medallion Standard Sh Ivory Standard Sham</t>
  </si>
  <si>
    <t>CHNLLIVST</t>
  </si>
  <si>
    <t>885308138712</t>
  </si>
  <si>
    <t>Curtain Fresh Curtainfresh Grommet Voile Pan White 59x95</t>
  </si>
  <si>
    <t>11497059X095WH</t>
  </si>
  <si>
    <t>885308377814</t>
  </si>
  <si>
    <t>Pairs To Go Cadenza Microfiber Panel Pair Teal 40x63</t>
  </si>
  <si>
    <t>15110080X063TEL</t>
  </si>
  <si>
    <t>885308328953</t>
  </si>
  <si>
    <t>NAVARRA KRISTY VAL BASIC</t>
  </si>
  <si>
    <t>14312052016ANT</t>
  </si>
  <si>
    <t>885308487353</t>
  </si>
  <si>
    <t>ECLIPSE SOLID THERMAPANEBASIC</t>
  </si>
  <si>
    <t>15061054X054NVY</t>
  </si>
  <si>
    <t>54 DBL</t>
  </si>
  <si>
    <t>746885368919</t>
  </si>
  <si>
    <t>Miller Curtains Window Treatments, Preston Rod Dijon 51x84</t>
  </si>
  <si>
    <t>WC70344413984</t>
  </si>
  <si>
    <t>32281247140</t>
  </si>
  <si>
    <t>Jay Franco Star Wars 2-Pack Squishy Pillo Multi Color</t>
  </si>
  <si>
    <t>JF24714MCD</t>
  </si>
  <si>
    <t>DISNEY/JAY FRANCO &amp; SONS</t>
  </si>
  <si>
    <t>PRINTED VELBOA WITH SQUISHY FILL</t>
  </si>
  <si>
    <t>32281247157</t>
  </si>
  <si>
    <t>Jay Franco Dreamin Mickey 2-Pack Squishy Multi Color</t>
  </si>
  <si>
    <t>JF24715MCD</t>
  </si>
  <si>
    <t>81806449231</t>
  </si>
  <si>
    <t>JOVIE LINEN 84 BASIC</t>
  </si>
  <si>
    <t>FZR02KNB2LIN</t>
  </si>
  <si>
    <t>FABRIC: POLYESTER/LINEN</t>
  </si>
  <si>
    <t>81806449248</t>
  </si>
  <si>
    <t>JOVIE GREY 84 BASIC</t>
  </si>
  <si>
    <t>FZR02KNB2GRY</t>
  </si>
  <si>
    <t>732994293013</t>
  </si>
  <si>
    <t>Martha Stewart Collection Set of 2 Standard Kissing Pill Bae Standard</t>
  </si>
  <si>
    <t>KISSBAE</t>
  </si>
  <si>
    <t>MMG-MARTHA STEWART/YUNUS</t>
  </si>
  <si>
    <t>706255339932</t>
  </si>
  <si>
    <t>Martha Stewart Collection Set of 2 Standard Kissing Pill Nap Queen Standard</t>
  </si>
  <si>
    <t>848405027600</t>
  </si>
  <si>
    <t>Mainstream International Inc. Smartspun Cotton Hand Towel White No Size</t>
  </si>
  <si>
    <t>MACPRO184107</t>
  </si>
  <si>
    <t>HAND TOWEL</t>
  </si>
  <si>
    <t>MAINSTREAM INTERNATIONAL INC</t>
  </si>
  <si>
    <t>400013532725</t>
  </si>
  <si>
    <t>CRC GENERIC</t>
  </si>
  <si>
    <t>NO COLOR</t>
  </si>
  <si>
    <t>NON-MRCHNDSE USE ONLY</t>
  </si>
  <si>
    <t>32281205294</t>
  </si>
  <si>
    <t>Harry Potter Second Year 3 Piece Bed Set, T Multicolor TwinFull</t>
  </si>
  <si>
    <t>JF20529</t>
  </si>
  <si>
    <t>32281206451</t>
  </si>
  <si>
    <t>TOY STORY ALL TOYS T/F C</t>
  </si>
  <si>
    <t>JF20645BBCD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</si>
</sst>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$&quot;#,##0.00_);[Red]\(&quot;$&quot;#,##0.00\)"/>
  </numFmts>
  <fonts count="23" x14ac:knownFonts="1">
    <font>
      <sz val="11"/>
      <color theme="1"/>
      <name val="Calibri"/>
      <scheme val="minor"/>
    </font>
    <font>
      <sz val="18"/>
      <color theme="3"/>
      <name val="Calibri Light"/>
      <scheme val="maj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5700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rgb="FFFF0000"/>
      <name val="Calibri"/>
      <scheme val="minor"/>
    </font>
    <font>
      <i/>
      <sz val="11"/>
      <color rgb="FF7F7F7F"/>
      <name val="Calibri"/>
      <scheme val="minor"/>
    </font>
    <font>
      <b/>
      <sz val="11"/>
      <color theme="1"/>
      <name val="Calibri"/>
      <scheme val="minor"/>
    </font>
    <font>
      <sz val="11"/>
      <color theme="0"/>
      <name val="Calibri"/>
      <scheme val="minor"/>
    </font>
    <font>
      <b/>
      <sz val="9"/>
      <color theme="1"/>
      <name val="Arial"/>
    </font>
    <font>
      <sz val="9"/>
      <color theme="1"/>
      <name val="Arial"/>
    </font>
    <font>
      <u/>
      <sz val="9"/>
      <color rgb="FF0000FF"/>
      <name val="Arial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5117038483843"/>
        <bgColor rgb="FFFFFFFF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5"/>
        <bgColor rgb="FF000000"/>
      </patternFill>
    </fill>
    <fill>
      <patternFill patternType="solid">
        <fgColor theme="5" tint="0.79995117038483843"/>
        <bgColor rgb="FFFFFFFF"/>
      </patternFill>
    </fill>
    <fill>
      <patternFill patternType="solid">
        <fgColor theme="5" tint="0.599963377788628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6"/>
        <bgColor rgb="FF000000"/>
      </patternFill>
    </fill>
    <fill>
      <patternFill patternType="solid">
        <fgColor theme="6" tint="0.79995117038483843"/>
        <bgColor rgb="FFFFFFFF"/>
      </patternFill>
    </fill>
    <fill>
      <patternFill patternType="solid">
        <fgColor theme="6" tint="0.59996337778862885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7"/>
        <bgColor rgb="FF000000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7" tint="0.59996337778862885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43"/>
        <bgColor rgb="FFFFFFFF"/>
      </patternFill>
    </fill>
    <fill>
      <patternFill patternType="solid">
        <fgColor theme="8" tint="0.59996337778862885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/>
        <bgColor rgb="FF000000"/>
      </patternFill>
    </fill>
    <fill>
      <patternFill patternType="solid">
        <fgColor theme="9" tint="0.79995117038483843"/>
        <bgColor rgb="FFFFFFFF"/>
      </patternFill>
    </fill>
    <fill>
      <patternFill patternType="solid">
        <fgColor theme="9" tint="0.599963377788628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16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6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6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6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center" wrapText="1"/>
    </xf>
    <xf numFmtId="0" fontId="19" fillId="0" borderId="0" xfId="0" applyFont="1" applyAlignment="1">
      <alignment wrapText="1"/>
    </xf>
    <xf numFmtId="0" fontId="17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wrapText="1"/>
    </xf>
    <xf numFmtId="1" fontId="18" fillId="33" borderId="0" xfId="0" applyNumberFormat="1" applyFont="1" applyFill="1" applyAlignment="1">
      <alignment horizontal="center" wrapText="1"/>
    </xf>
    <xf numFmtId="165" fontId="18" fillId="33" borderId="0" xfId="0" applyNumberFormat="1" applyFont="1" applyFill="1" applyAlignment="1">
      <alignment wrapText="1"/>
    </xf>
    <xf numFmtId="0" fontId="18" fillId="33" borderId="0" xfId="0" applyFont="1" applyFill="1" applyAlignment="1">
      <alignment horizontal="center" wrapText="1"/>
    </xf>
    <xf numFmtId="164" fontId="18" fillId="33" borderId="0" xfId="42" applyFont="1" applyFill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Followed Hyperlink" xfId="4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abSelected="1" topLeftCell="C1" workbookViewId="0">
      <selection activeCell="N10" sqref="N10"/>
    </sheetView>
  </sheetViews>
  <sheetFormatPr defaultColWidth="9.140625" defaultRowHeight="15" x14ac:dyDescent="0.25"/>
  <cols>
    <col min="1" max="1" width="11.140625" customWidth="1"/>
    <col min="2" max="2" width="41.28515625" customWidth="1"/>
    <col min="3" max="3" width="11.7109375" customWidth="1"/>
    <col min="4" max="4" width="8.42578125" customWidth="1"/>
    <col min="5" max="6" width="11.7109375" customWidth="1"/>
    <col min="7" max="7" width="8.42578125" customWidth="1"/>
    <col min="8" max="8" width="13.28515625" customWidth="1"/>
    <col min="9" max="10" width="8.85546875" customWidth="1"/>
    <col min="11" max="11" width="8.7109375" customWidth="1"/>
    <col min="12" max="12" width="8.42578125" customWidth="1"/>
    <col min="13" max="13" width="9.42578125" customWidth="1"/>
    <col min="14" max="14" width="35.5703125" customWidth="1"/>
    <col min="15" max="15" width="32.5703125" customWidth="1"/>
    <col min="16" max="16" width="35.5703125" customWidth="1"/>
    <col min="17" max="17" width="50" customWidth="1"/>
  </cols>
  <sheetData>
    <row r="1" spans="1:11" s="1" customFormat="1" ht="14.45" customHeight="1" x14ac:dyDescent="0.25"/>
    <row r="2" spans="1:11" ht="36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/>
    </row>
    <row r="3" spans="1:11" ht="48.75" x14ac:dyDescent="0.25">
      <c r="A3" s="3" t="s">
        <v>9</v>
      </c>
      <c r="B3" s="4">
        <v>12998981</v>
      </c>
      <c r="C3" s="3" t="s">
        <v>10</v>
      </c>
      <c r="D3" s="3" t="s">
        <v>11</v>
      </c>
      <c r="E3" s="5">
        <v>1</v>
      </c>
      <c r="F3" s="5">
        <v>7</v>
      </c>
      <c r="G3" s="3">
        <v>322</v>
      </c>
      <c r="H3" s="6">
        <v>5316.95</v>
      </c>
      <c r="I3" s="7">
        <v>105</v>
      </c>
      <c r="J3" s="6"/>
    </row>
    <row r="4" spans="1:11" ht="48.75" x14ac:dyDescent="0.25">
      <c r="A4" s="3" t="s">
        <v>9</v>
      </c>
      <c r="B4" s="4">
        <v>12998981</v>
      </c>
      <c r="C4" s="3" t="s">
        <v>10</v>
      </c>
      <c r="D4" s="3" t="s">
        <v>11</v>
      </c>
      <c r="E4" s="5">
        <v>1</v>
      </c>
      <c r="F4" s="5">
        <v>11</v>
      </c>
      <c r="G4" s="3">
        <v>329</v>
      </c>
      <c r="H4" s="6">
        <v>5572.03</v>
      </c>
      <c r="I4" s="7">
        <v>95</v>
      </c>
      <c r="J4" s="6"/>
    </row>
    <row r="5" spans="1:11" ht="48.75" x14ac:dyDescent="0.25">
      <c r="A5" s="3" t="s">
        <v>9</v>
      </c>
      <c r="B5" s="4">
        <v>12998981</v>
      </c>
      <c r="C5" s="3" t="s">
        <v>10</v>
      </c>
      <c r="D5" s="3" t="s">
        <v>11</v>
      </c>
      <c r="E5" s="5">
        <v>1</v>
      </c>
      <c r="F5" s="5">
        <v>8</v>
      </c>
      <c r="G5" s="3">
        <v>352</v>
      </c>
      <c r="H5" s="6">
        <v>6176.55</v>
      </c>
      <c r="I5" s="7">
        <v>145</v>
      </c>
      <c r="J5" s="6"/>
    </row>
    <row r="6" spans="1:11" x14ac:dyDescent="0.25">
      <c r="A6" s="3"/>
      <c r="B6" s="4"/>
      <c r="C6" s="3"/>
      <c r="D6" s="14" t="s">
        <v>12</v>
      </c>
      <c r="E6" s="15">
        <v>3</v>
      </c>
      <c r="F6" s="15">
        <v>26</v>
      </c>
      <c r="G6" s="14">
        <v>1003</v>
      </c>
      <c r="H6" s="16">
        <v>17065.53</v>
      </c>
      <c r="I6" s="17">
        <v>345</v>
      </c>
      <c r="J6" s="18"/>
    </row>
    <row r="7" spans="1:11" s="1" customFormat="1" ht="14.45" customHeight="1" x14ac:dyDescent="0.25"/>
    <row r="8" spans="1:11" x14ac:dyDescent="0.25">
      <c r="A8" s="2"/>
      <c r="B8" s="2"/>
      <c r="C8" s="2"/>
      <c r="D8" s="2"/>
    </row>
    <row r="9" spans="1:11" x14ac:dyDescent="0.25">
      <c r="A9" s="8"/>
      <c r="B9" s="3"/>
      <c r="C9" s="6"/>
      <c r="D9" s="6"/>
    </row>
    <row r="10" spans="1:11" s="1" customFormat="1" ht="14.45" customHeight="1" x14ac:dyDescent="0.25"/>
    <row r="11" spans="1:11" ht="36" x14ac:dyDescent="0.25">
      <c r="A11" s="13" t="s">
        <v>13</v>
      </c>
      <c r="B11" s="13" t="s">
        <v>14</v>
      </c>
      <c r="C11" s="13" t="s">
        <v>15</v>
      </c>
      <c r="D11" s="13" t="s">
        <v>16</v>
      </c>
      <c r="E11" s="13" t="s">
        <v>7</v>
      </c>
      <c r="F11" s="13" t="s">
        <v>17</v>
      </c>
      <c r="G11" s="13" t="s">
        <v>18</v>
      </c>
      <c r="H11" s="13" t="s">
        <v>19</v>
      </c>
      <c r="I11" s="13" t="s">
        <v>20</v>
      </c>
      <c r="J11" s="13" t="s">
        <v>21</v>
      </c>
      <c r="K11" s="13" t="s">
        <v>22</v>
      </c>
    </row>
    <row r="12" spans="1:11" ht="84.75" x14ac:dyDescent="0.25">
      <c r="A12" s="9" t="s">
        <v>23</v>
      </c>
      <c r="B12" s="3" t="s">
        <v>24</v>
      </c>
      <c r="C12" s="5">
        <v>1</v>
      </c>
      <c r="D12" s="10">
        <v>454.99</v>
      </c>
      <c r="E12" s="6">
        <v>454.99</v>
      </c>
      <c r="F12" s="5" t="s">
        <v>25</v>
      </c>
      <c r="G12" s="3" t="s">
        <v>26</v>
      </c>
      <c r="H12" s="11"/>
      <c r="I12" s="3" t="s">
        <v>27</v>
      </c>
      <c r="J12" s="3" t="s">
        <v>28</v>
      </c>
      <c r="K12" s="12" t="str">
        <f>HYPERLINK("http://slimages.macys.com/is/image/MCY/12029103 ")</f>
        <v xml:space="preserve">http://slimages.macys.com/is/image/MCY/12029103 </v>
      </c>
    </row>
    <row r="13" spans="1:11" ht="72.75" x14ac:dyDescent="0.25">
      <c r="A13" s="9" t="s">
        <v>29</v>
      </c>
      <c r="B13" s="3" t="s">
        <v>30</v>
      </c>
      <c r="C13" s="5">
        <v>1</v>
      </c>
      <c r="D13" s="10">
        <v>179.99</v>
      </c>
      <c r="E13" s="6">
        <v>179.99</v>
      </c>
      <c r="F13" s="5" t="s">
        <v>31</v>
      </c>
      <c r="G13" s="3" t="s">
        <v>32</v>
      </c>
      <c r="H13" s="11"/>
      <c r="I13" s="3" t="s">
        <v>33</v>
      </c>
      <c r="J13" s="3" t="s">
        <v>34</v>
      </c>
      <c r="K13" s="12" t="str">
        <f>HYPERLINK("http://slimages.macys.com/is/image/MCY/9893977 ")</f>
        <v xml:space="preserve">http://slimages.macys.com/is/image/MCY/9893977 </v>
      </c>
    </row>
    <row r="14" spans="1:11" ht="72.75" x14ac:dyDescent="0.25">
      <c r="A14" s="9" t="s">
        <v>35</v>
      </c>
      <c r="B14" s="3" t="s">
        <v>36</v>
      </c>
      <c r="C14" s="5">
        <v>1</v>
      </c>
      <c r="D14" s="10">
        <v>159.99</v>
      </c>
      <c r="E14" s="6">
        <v>159.99</v>
      </c>
      <c r="F14" s="5" t="s">
        <v>37</v>
      </c>
      <c r="G14" s="3" t="s">
        <v>38</v>
      </c>
      <c r="H14" s="11"/>
      <c r="I14" s="3" t="s">
        <v>33</v>
      </c>
      <c r="J14" s="3" t="s">
        <v>39</v>
      </c>
      <c r="K14" s="12" t="str">
        <f>HYPERLINK("http://slimages.macys.com/is/image/MCY/9893977 ")</f>
        <v xml:space="preserve">http://slimages.macys.com/is/image/MCY/9893977 </v>
      </c>
    </row>
    <row r="15" spans="1:11" ht="228.75" x14ac:dyDescent="0.25">
      <c r="A15" s="9" t="s">
        <v>40</v>
      </c>
      <c r="B15" s="3" t="s">
        <v>41</v>
      </c>
      <c r="C15" s="5">
        <v>1</v>
      </c>
      <c r="D15" s="10">
        <v>169.99</v>
      </c>
      <c r="E15" s="6">
        <v>169.99</v>
      </c>
      <c r="F15" s="5" t="s">
        <v>42</v>
      </c>
      <c r="G15" s="3" t="s">
        <v>32</v>
      </c>
      <c r="H15" s="11"/>
      <c r="I15" s="3" t="s">
        <v>43</v>
      </c>
      <c r="J15" s="3" t="s">
        <v>44</v>
      </c>
      <c r="K15" s="12" t="str">
        <f>HYPERLINK("http://slimages.macys.com/is/image/MCY/9627753 ")</f>
        <v xml:space="preserve">http://slimages.macys.com/is/image/MCY/9627753 </v>
      </c>
    </row>
    <row r="16" spans="1:11" ht="276.75" x14ac:dyDescent="0.25">
      <c r="A16" s="9" t="s">
        <v>45</v>
      </c>
      <c r="B16" s="3" t="s">
        <v>46</v>
      </c>
      <c r="C16" s="5">
        <v>1</v>
      </c>
      <c r="D16" s="10">
        <v>186.99</v>
      </c>
      <c r="E16" s="6">
        <v>186.99</v>
      </c>
      <c r="F16" s="5" t="s">
        <v>47</v>
      </c>
      <c r="G16" s="3" t="s">
        <v>38</v>
      </c>
      <c r="H16" s="11"/>
      <c r="I16" s="3" t="s">
        <v>43</v>
      </c>
      <c r="J16" s="3" t="s">
        <v>48</v>
      </c>
      <c r="K16" s="12" t="str">
        <f>HYPERLINK("http://slimages.macys.com/is/image/MCY/12499195 ")</f>
        <v xml:space="preserve">http://slimages.macys.com/is/image/MCY/12499195 </v>
      </c>
    </row>
    <row r="17" spans="1:11" ht="72.75" x14ac:dyDescent="0.25">
      <c r="A17" s="9" t="s">
        <v>49</v>
      </c>
      <c r="B17" s="3" t="s">
        <v>50</v>
      </c>
      <c r="C17" s="5">
        <v>1</v>
      </c>
      <c r="D17" s="10">
        <v>152.99</v>
      </c>
      <c r="E17" s="6">
        <v>152.99</v>
      </c>
      <c r="F17" s="5" t="s">
        <v>51</v>
      </c>
      <c r="G17" s="3" t="s">
        <v>52</v>
      </c>
      <c r="H17" s="11"/>
      <c r="I17" s="3" t="s">
        <v>53</v>
      </c>
      <c r="J17" s="3" t="s">
        <v>54</v>
      </c>
      <c r="K17" s="12" t="str">
        <f>HYPERLINK("http://slimages.macys.com/is/image/MCY/15422715 ")</f>
        <v xml:space="preserve">http://slimages.macys.com/is/image/MCY/15422715 </v>
      </c>
    </row>
    <row r="18" spans="1:11" ht="72.75" x14ac:dyDescent="0.25">
      <c r="A18" s="9" t="s">
        <v>55</v>
      </c>
      <c r="B18" s="3" t="s">
        <v>56</v>
      </c>
      <c r="C18" s="5">
        <v>1</v>
      </c>
      <c r="D18" s="10">
        <v>149.99</v>
      </c>
      <c r="E18" s="6">
        <v>149.99</v>
      </c>
      <c r="F18" s="5" t="s">
        <v>57</v>
      </c>
      <c r="G18" s="3" t="s">
        <v>58</v>
      </c>
      <c r="H18" s="11"/>
      <c r="I18" s="3" t="s">
        <v>59</v>
      </c>
      <c r="J18" s="3" t="s">
        <v>60</v>
      </c>
      <c r="K18" s="12" t="str">
        <f>HYPERLINK("http://slimages.macys.com/is/image/MCY/9848201 ")</f>
        <v xml:space="preserve">http://slimages.macys.com/is/image/MCY/9848201 </v>
      </c>
    </row>
    <row r="19" spans="1:11" ht="96.75" x14ac:dyDescent="0.25">
      <c r="A19" s="9" t="s">
        <v>61</v>
      </c>
      <c r="B19" s="3" t="s">
        <v>62</v>
      </c>
      <c r="C19" s="5">
        <v>1</v>
      </c>
      <c r="D19" s="10">
        <v>109.99</v>
      </c>
      <c r="E19" s="6">
        <v>109.99</v>
      </c>
      <c r="F19" s="5" t="s">
        <v>63</v>
      </c>
      <c r="G19" s="3" t="s">
        <v>26</v>
      </c>
      <c r="H19" s="11" t="s">
        <v>64</v>
      </c>
      <c r="I19" s="3" t="s">
        <v>65</v>
      </c>
      <c r="J19" s="3" t="s">
        <v>66</v>
      </c>
      <c r="K19" s="12" t="str">
        <f>HYPERLINK("http://slimages.macys.com/is/image/MCY/10764576 ")</f>
        <v xml:space="preserve">http://slimages.macys.com/is/image/MCY/10764576 </v>
      </c>
    </row>
    <row r="20" spans="1:11" ht="132.75" x14ac:dyDescent="0.25">
      <c r="A20" s="9" t="s">
        <v>67</v>
      </c>
      <c r="B20" s="3" t="s">
        <v>68</v>
      </c>
      <c r="C20" s="5">
        <v>1</v>
      </c>
      <c r="D20" s="10">
        <v>99.99</v>
      </c>
      <c r="E20" s="6">
        <v>99.99</v>
      </c>
      <c r="F20" s="5" t="s">
        <v>69</v>
      </c>
      <c r="G20" s="3" t="s">
        <v>38</v>
      </c>
      <c r="H20" s="11"/>
      <c r="I20" s="3" t="s">
        <v>43</v>
      </c>
      <c r="J20" s="3" t="s">
        <v>70</v>
      </c>
      <c r="K20" s="12" t="str">
        <f>HYPERLINK("http://slimages.macys.com/is/image/MCY/9953853 ")</f>
        <v xml:space="preserve">http://slimages.macys.com/is/image/MCY/9953853 </v>
      </c>
    </row>
    <row r="21" spans="1:11" ht="144.75" x14ac:dyDescent="0.25">
      <c r="A21" s="9" t="s">
        <v>71</v>
      </c>
      <c r="B21" s="3" t="s">
        <v>72</v>
      </c>
      <c r="C21" s="5">
        <v>1</v>
      </c>
      <c r="D21" s="10">
        <v>110.99</v>
      </c>
      <c r="E21" s="6">
        <v>110.99</v>
      </c>
      <c r="F21" s="5" t="s">
        <v>73</v>
      </c>
      <c r="G21" s="3" t="s">
        <v>74</v>
      </c>
      <c r="H21" s="11"/>
      <c r="I21" s="3" t="s">
        <v>43</v>
      </c>
      <c r="J21" s="3" t="s">
        <v>75</v>
      </c>
      <c r="K21" s="12" t="str">
        <f>HYPERLINK("http://slimages.macys.com/is/image/MCY/11113866 ")</f>
        <v xml:space="preserve">http://slimages.macys.com/is/image/MCY/11113866 </v>
      </c>
    </row>
    <row r="22" spans="1:11" ht="72.75" x14ac:dyDescent="0.25">
      <c r="A22" s="9" t="s">
        <v>76</v>
      </c>
      <c r="B22" s="3" t="s">
        <v>77</v>
      </c>
      <c r="C22" s="5">
        <v>1</v>
      </c>
      <c r="D22" s="10">
        <v>139.99</v>
      </c>
      <c r="E22" s="6">
        <v>139.99</v>
      </c>
      <c r="F22" s="5" t="s">
        <v>78</v>
      </c>
      <c r="G22" s="3" t="s">
        <v>38</v>
      </c>
      <c r="H22" s="11"/>
      <c r="I22" s="3" t="s">
        <v>43</v>
      </c>
      <c r="J22" s="3"/>
      <c r="K22" s="12" t="str">
        <f>HYPERLINK("http://slimages.macys.com/is/image/MCY/8934030 ")</f>
        <v xml:space="preserve">http://slimages.macys.com/is/image/MCY/8934030 </v>
      </c>
    </row>
    <row r="23" spans="1:11" ht="372.75" x14ac:dyDescent="0.25">
      <c r="A23" s="9" t="s">
        <v>79</v>
      </c>
      <c r="B23" s="3" t="s">
        <v>80</v>
      </c>
      <c r="C23" s="5">
        <v>1</v>
      </c>
      <c r="D23" s="10">
        <v>149.99</v>
      </c>
      <c r="E23" s="6">
        <v>149.99</v>
      </c>
      <c r="F23" s="5" t="s">
        <v>81</v>
      </c>
      <c r="G23" s="3" t="s">
        <v>82</v>
      </c>
      <c r="H23" s="11"/>
      <c r="I23" s="3" t="s">
        <v>43</v>
      </c>
      <c r="J23" s="3" t="s">
        <v>83</v>
      </c>
      <c r="K23" s="12" t="str">
        <f>HYPERLINK("http://slimages.macys.com/is/image/MCY/9566735 ")</f>
        <v xml:space="preserve">http://slimages.macys.com/is/image/MCY/9566735 </v>
      </c>
    </row>
    <row r="24" spans="1:11" ht="72.75" x14ac:dyDescent="0.25">
      <c r="A24" s="9" t="s">
        <v>84</v>
      </c>
      <c r="B24" s="3" t="s">
        <v>85</v>
      </c>
      <c r="C24" s="5">
        <v>1</v>
      </c>
      <c r="D24" s="10">
        <v>124.99</v>
      </c>
      <c r="E24" s="6">
        <v>124.99</v>
      </c>
      <c r="F24" s="5" t="s">
        <v>86</v>
      </c>
      <c r="G24" s="3" t="s">
        <v>32</v>
      </c>
      <c r="H24" s="11"/>
      <c r="I24" s="3" t="s">
        <v>87</v>
      </c>
      <c r="J24" s="3" t="s">
        <v>88</v>
      </c>
      <c r="K24" s="12" t="str">
        <f>HYPERLINK("http://slimages.macys.com/is/image/MCY/12802113 ")</f>
        <v xml:space="preserve">http://slimages.macys.com/is/image/MCY/12802113 </v>
      </c>
    </row>
    <row r="25" spans="1:11" ht="72.75" x14ac:dyDescent="0.25">
      <c r="A25" s="9" t="s">
        <v>89</v>
      </c>
      <c r="B25" s="3" t="s">
        <v>90</v>
      </c>
      <c r="C25" s="5">
        <v>1</v>
      </c>
      <c r="D25" s="10">
        <v>109.99</v>
      </c>
      <c r="E25" s="6">
        <v>109.99</v>
      </c>
      <c r="F25" s="5" t="s">
        <v>91</v>
      </c>
      <c r="G25" s="3" t="s">
        <v>92</v>
      </c>
      <c r="H25" s="11"/>
      <c r="I25" s="3" t="s">
        <v>93</v>
      </c>
      <c r="J25" s="3" t="s">
        <v>94</v>
      </c>
      <c r="K25" s="12" t="str">
        <f>HYPERLINK("http://slimages.macys.com/is/image/MCY/3252308 ")</f>
        <v xml:space="preserve">http://slimages.macys.com/is/image/MCY/3252308 </v>
      </c>
    </row>
    <row r="26" spans="1:11" ht="228.75" x14ac:dyDescent="0.25">
      <c r="A26" s="9" t="s">
        <v>95</v>
      </c>
      <c r="B26" s="3" t="s">
        <v>96</v>
      </c>
      <c r="C26" s="5">
        <v>1</v>
      </c>
      <c r="D26" s="10">
        <v>139.99</v>
      </c>
      <c r="E26" s="6">
        <v>139.99</v>
      </c>
      <c r="F26" s="5" t="s">
        <v>97</v>
      </c>
      <c r="G26" s="3"/>
      <c r="H26" s="11"/>
      <c r="I26" s="3" t="s">
        <v>43</v>
      </c>
      <c r="J26" s="3" t="s">
        <v>98</v>
      </c>
      <c r="K26" s="12" t="str">
        <f>HYPERLINK("http://slimages.macys.com/is/image/MCY/9627942 ")</f>
        <v xml:space="preserve">http://slimages.macys.com/is/image/MCY/9627942 </v>
      </c>
    </row>
    <row r="27" spans="1:11" ht="72.75" x14ac:dyDescent="0.25">
      <c r="A27" s="9" t="s">
        <v>99</v>
      </c>
      <c r="B27" s="3" t="s">
        <v>100</v>
      </c>
      <c r="C27" s="5">
        <v>1</v>
      </c>
      <c r="D27" s="10">
        <v>109.99</v>
      </c>
      <c r="E27" s="6">
        <v>109.99</v>
      </c>
      <c r="F27" s="5" t="s">
        <v>101</v>
      </c>
      <c r="G27" s="3" t="s">
        <v>32</v>
      </c>
      <c r="H27" s="11"/>
      <c r="I27" s="3" t="s">
        <v>102</v>
      </c>
      <c r="J27" s="3" t="s">
        <v>88</v>
      </c>
      <c r="K27" s="12" t="str">
        <f>HYPERLINK("http://slimages.macys.com/is/image/MCY/9936547 ")</f>
        <v xml:space="preserve">http://slimages.macys.com/is/image/MCY/9936547 </v>
      </c>
    </row>
    <row r="28" spans="1:11" ht="72.75" x14ac:dyDescent="0.25">
      <c r="A28" s="9" t="s">
        <v>103</v>
      </c>
      <c r="B28" s="3" t="s">
        <v>104</v>
      </c>
      <c r="C28" s="5">
        <v>1</v>
      </c>
      <c r="D28" s="10">
        <v>119.99</v>
      </c>
      <c r="E28" s="6">
        <v>119.99</v>
      </c>
      <c r="F28" s="5" t="s">
        <v>105</v>
      </c>
      <c r="G28" s="3" t="s">
        <v>38</v>
      </c>
      <c r="H28" s="11"/>
      <c r="I28" s="3" t="s">
        <v>53</v>
      </c>
      <c r="J28" s="3" t="s">
        <v>54</v>
      </c>
      <c r="K28" s="12" t="str">
        <f>HYPERLINK("http://slimages.macys.com/is/image/MCY/15692243 ")</f>
        <v xml:space="preserve">http://slimages.macys.com/is/image/MCY/15692243 </v>
      </c>
    </row>
    <row r="29" spans="1:11" ht="72.75" x14ac:dyDescent="0.25">
      <c r="A29" s="9" t="s">
        <v>106</v>
      </c>
      <c r="B29" s="3" t="s">
        <v>107</v>
      </c>
      <c r="C29" s="5">
        <v>1</v>
      </c>
      <c r="D29" s="10">
        <v>119.99</v>
      </c>
      <c r="E29" s="6">
        <v>119.99</v>
      </c>
      <c r="F29" s="5" t="s">
        <v>108</v>
      </c>
      <c r="G29" s="3" t="s">
        <v>109</v>
      </c>
      <c r="H29" s="11"/>
      <c r="I29" s="3" t="s">
        <v>53</v>
      </c>
      <c r="J29" s="3" t="s">
        <v>54</v>
      </c>
      <c r="K29" s="12" t="str">
        <f>HYPERLINK("http://slimages.macys.com/is/image/MCY/11495944 ")</f>
        <v xml:space="preserve">http://slimages.macys.com/is/image/MCY/11495944 </v>
      </c>
    </row>
    <row r="30" spans="1:11" ht="72.75" x14ac:dyDescent="0.25">
      <c r="A30" s="9" t="s">
        <v>110</v>
      </c>
      <c r="B30" s="3" t="s">
        <v>111</v>
      </c>
      <c r="C30" s="5">
        <v>2</v>
      </c>
      <c r="D30" s="10">
        <v>119.99</v>
      </c>
      <c r="E30" s="6">
        <v>239.98</v>
      </c>
      <c r="F30" s="5" t="s">
        <v>112</v>
      </c>
      <c r="G30" s="3" t="s">
        <v>38</v>
      </c>
      <c r="H30" s="11"/>
      <c r="I30" s="3" t="s">
        <v>53</v>
      </c>
      <c r="J30" s="3" t="s">
        <v>54</v>
      </c>
      <c r="K30" s="12" t="str">
        <f>HYPERLINK("http://slimages.macys.com/is/image/MCY/13813183 ")</f>
        <v xml:space="preserve">http://slimages.macys.com/is/image/MCY/13813183 </v>
      </c>
    </row>
    <row r="31" spans="1:11" ht="72.75" x14ac:dyDescent="0.25">
      <c r="A31" s="9" t="s">
        <v>113</v>
      </c>
      <c r="B31" s="3" t="s">
        <v>114</v>
      </c>
      <c r="C31" s="5">
        <v>2</v>
      </c>
      <c r="D31" s="10">
        <v>119.99</v>
      </c>
      <c r="E31" s="6">
        <v>239.98</v>
      </c>
      <c r="F31" s="5" t="s">
        <v>115</v>
      </c>
      <c r="G31" s="3" t="s">
        <v>116</v>
      </c>
      <c r="H31" s="11"/>
      <c r="I31" s="3" t="s">
        <v>53</v>
      </c>
      <c r="J31" s="3" t="s">
        <v>54</v>
      </c>
      <c r="K31" s="12" t="str">
        <f>HYPERLINK("http://slimages.macys.com/is/image/MCY/11495944 ")</f>
        <v xml:space="preserve">http://slimages.macys.com/is/image/MCY/11495944 </v>
      </c>
    </row>
    <row r="32" spans="1:11" ht="409.6" x14ac:dyDescent="0.25">
      <c r="A32" s="9" t="s">
        <v>117</v>
      </c>
      <c r="B32" s="3" t="s">
        <v>118</v>
      </c>
      <c r="C32" s="5">
        <v>1</v>
      </c>
      <c r="D32" s="10">
        <v>119.99</v>
      </c>
      <c r="E32" s="6">
        <v>119.99</v>
      </c>
      <c r="F32" s="5" t="s">
        <v>119</v>
      </c>
      <c r="G32" s="3" t="s">
        <v>26</v>
      </c>
      <c r="H32" s="11"/>
      <c r="I32" s="3" t="s">
        <v>43</v>
      </c>
      <c r="J32" s="3" t="s">
        <v>120</v>
      </c>
      <c r="K32" s="12" t="str">
        <f>HYPERLINK("http://slimages.macys.com/is/image/MCY/9627779 ")</f>
        <v xml:space="preserve">http://slimages.macys.com/is/image/MCY/9627779 </v>
      </c>
    </row>
    <row r="33" spans="1:11" ht="96.75" x14ac:dyDescent="0.25">
      <c r="A33" s="9" t="s">
        <v>121</v>
      </c>
      <c r="B33" s="3" t="s">
        <v>122</v>
      </c>
      <c r="C33" s="5">
        <v>1</v>
      </c>
      <c r="D33" s="10">
        <v>89.99</v>
      </c>
      <c r="E33" s="6">
        <v>89.99</v>
      </c>
      <c r="F33" s="5" t="s">
        <v>123</v>
      </c>
      <c r="G33" s="3" t="s">
        <v>26</v>
      </c>
      <c r="H33" s="11" t="s">
        <v>124</v>
      </c>
      <c r="I33" s="3" t="s">
        <v>65</v>
      </c>
      <c r="J33" s="3" t="s">
        <v>66</v>
      </c>
      <c r="K33" s="12" t="str">
        <f>HYPERLINK("http://slimages.macys.com/is/image/MCY/10764578 ")</f>
        <v xml:space="preserve">http://slimages.macys.com/is/image/MCY/10764578 </v>
      </c>
    </row>
    <row r="34" spans="1:11" ht="72.75" x14ac:dyDescent="0.25">
      <c r="A34" s="9" t="s">
        <v>125</v>
      </c>
      <c r="B34" s="3" t="s">
        <v>126</v>
      </c>
      <c r="C34" s="5">
        <v>1</v>
      </c>
      <c r="D34" s="10">
        <v>115.99</v>
      </c>
      <c r="E34" s="6">
        <v>115.99</v>
      </c>
      <c r="F34" s="5" t="s">
        <v>127</v>
      </c>
      <c r="G34" s="3" t="s">
        <v>128</v>
      </c>
      <c r="H34" s="11"/>
      <c r="I34" s="3" t="s">
        <v>53</v>
      </c>
      <c r="J34" s="3" t="s">
        <v>54</v>
      </c>
      <c r="K34" s="12" t="str">
        <f>HYPERLINK("http://slimages.macys.com/is/image/MCY/13814579 ")</f>
        <v xml:space="preserve">http://slimages.macys.com/is/image/MCY/13814579 </v>
      </c>
    </row>
    <row r="35" spans="1:11" ht="72.75" x14ac:dyDescent="0.25">
      <c r="A35" s="9" t="s">
        <v>129</v>
      </c>
      <c r="B35" s="3" t="s">
        <v>130</v>
      </c>
      <c r="C35" s="5">
        <v>2</v>
      </c>
      <c r="D35" s="10">
        <v>131.99</v>
      </c>
      <c r="E35" s="6">
        <v>263.98</v>
      </c>
      <c r="F35" s="5" t="s">
        <v>131</v>
      </c>
      <c r="G35" s="3" t="s">
        <v>32</v>
      </c>
      <c r="H35" s="11"/>
      <c r="I35" s="3" t="s">
        <v>53</v>
      </c>
      <c r="J35" s="3" t="s">
        <v>54</v>
      </c>
      <c r="K35" s="12" t="str">
        <f>HYPERLINK("http://slimages.macys.com/is/image/MCY/13813193 ")</f>
        <v xml:space="preserve">http://slimages.macys.com/is/image/MCY/13813193 </v>
      </c>
    </row>
    <row r="36" spans="1:11" ht="84.75" x14ac:dyDescent="0.25">
      <c r="A36" s="9" t="s">
        <v>132</v>
      </c>
      <c r="B36" s="3" t="s">
        <v>133</v>
      </c>
      <c r="C36" s="5">
        <v>1</v>
      </c>
      <c r="D36" s="10">
        <v>129.99</v>
      </c>
      <c r="E36" s="6">
        <v>129.99</v>
      </c>
      <c r="F36" s="5" t="s">
        <v>134</v>
      </c>
      <c r="G36" s="3" t="s">
        <v>135</v>
      </c>
      <c r="H36" s="11"/>
      <c r="I36" s="3" t="s">
        <v>59</v>
      </c>
      <c r="J36" s="3" t="s">
        <v>136</v>
      </c>
      <c r="K36" s="12" t="str">
        <f>HYPERLINK("http://slimages.macys.com/is/image/MCY/15787487 ")</f>
        <v xml:space="preserve">http://slimages.macys.com/is/image/MCY/15787487 </v>
      </c>
    </row>
    <row r="37" spans="1:11" ht="72.75" x14ac:dyDescent="0.25">
      <c r="A37" s="9" t="s">
        <v>137</v>
      </c>
      <c r="B37" s="3" t="s">
        <v>138</v>
      </c>
      <c r="C37" s="5">
        <v>1</v>
      </c>
      <c r="D37" s="10">
        <v>116.99</v>
      </c>
      <c r="E37" s="6">
        <v>116.99</v>
      </c>
      <c r="F37" s="5" t="s">
        <v>139</v>
      </c>
      <c r="G37" s="3"/>
      <c r="H37" s="11"/>
      <c r="I37" s="3" t="s">
        <v>140</v>
      </c>
      <c r="J37" s="3" t="s">
        <v>88</v>
      </c>
      <c r="K37" s="12" t="str">
        <f>HYPERLINK("http://slimages.macys.com/is/image/MCY/14516497 ")</f>
        <v xml:space="preserve">http://slimages.macys.com/is/image/MCY/14516497 </v>
      </c>
    </row>
    <row r="38" spans="1:11" ht="72.75" x14ac:dyDescent="0.25">
      <c r="A38" s="9" t="s">
        <v>141</v>
      </c>
      <c r="B38" s="3" t="s">
        <v>142</v>
      </c>
      <c r="C38" s="5">
        <v>4</v>
      </c>
      <c r="D38" s="10">
        <v>102.99</v>
      </c>
      <c r="E38" s="6">
        <v>411.96</v>
      </c>
      <c r="F38" s="5" t="s">
        <v>143</v>
      </c>
      <c r="G38" s="3" t="s">
        <v>32</v>
      </c>
      <c r="H38" s="11"/>
      <c r="I38" s="3" t="s">
        <v>144</v>
      </c>
      <c r="J38" s="3" t="s">
        <v>54</v>
      </c>
      <c r="K38" s="12" t="str">
        <f>HYPERLINK("http://slimages.macys.com/is/image/MCY/12887718 ")</f>
        <v xml:space="preserve">http://slimages.macys.com/is/image/MCY/12887718 </v>
      </c>
    </row>
    <row r="39" spans="1:11" ht="72.75" x14ac:dyDescent="0.25">
      <c r="A39" s="9" t="s">
        <v>145</v>
      </c>
      <c r="B39" s="3" t="s">
        <v>146</v>
      </c>
      <c r="C39" s="5">
        <v>1</v>
      </c>
      <c r="D39" s="10">
        <v>102.99</v>
      </c>
      <c r="E39" s="6">
        <v>102.99</v>
      </c>
      <c r="F39" s="5" t="s">
        <v>147</v>
      </c>
      <c r="G39" s="3" t="s">
        <v>128</v>
      </c>
      <c r="H39" s="11" t="s">
        <v>148</v>
      </c>
      <c r="I39" s="3" t="s">
        <v>53</v>
      </c>
      <c r="J39" s="3" t="s">
        <v>54</v>
      </c>
      <c r="K39" s="12" t="str">
        <f>HYPERLINK("http://slimages.macys.com/is/image/MCY/10341296 ")</f>
        <v xml:space="preserve">http://slimages.macys.com/is/image/MCY/10341296 </v>
      </c>
    </row>
    <row r="40" spans="1:11" ht="72.75" x14ac:dyDescent="0.25">
      <c r="A40" s="9" t="s">
        <v>149</v>
      </c>
      <c r="B40" s="3" t="s">
        <v>150</v>
      </c>
      <c r="C40" s="5">
        <v>1</v>
      </c>
      <c r="D40" s="10">
        <v>99.99</v>
      </c>
      <c r="E40" s="6">
        <v>99.99</v>
      </c>
      <c r="F40" s="5" t="s">
        <v>151</v>
      </c>
      <c r="G40" s="3" t="s">
        <v>32</v>
      </c>
      <c r="H40" s="11"/>
      <c r="I40" s="3" t="s">
        <v>53</v>
      </c>
      <c r="J40" s="3" t="s">
        <v>54</v>
      </c>
      <c r="K40" s="12" t="str">
        <f>HYPERLINK("http://slimages.macys.com/is/image/MCY/13814146 ")</f>
        <v xml:space="preserve">http://slimages.macys.com/is/image/MCY/13814146 </v>
      </c>
    </row>
    <row r="41" spans="1:11" ht="180.75" x14ac:dyDescent="0.25">
      <c r="A41" s="9" t="s">
        <v>152</v>
      </c>
      <c r="B41" s="3" t="s">
        <v>153</v>
      </c>
      <c r="C41" s="5">
        <v>1</v>
      </c>
      <c r="D41" s="10">
        <v>109.99</v>
      </c>
      <c r="E41" s="6">
        <v>109.99</v>
      </c>
      <c r="F41" s="5" t="s">
        <v>154</v>
      </c>
      <c r="G41" s="3" t="s">
        <v>26</v>
      </c>
      <c r="H41" s="11"/>
      <c r="I41" s="3" t="s">
        <v>155</v>
      </c>
      <c r="J41" s="3" t="s">
        <v>156</v>
      </c>
      <c r="K41" s="12" t="str">
        <f>HYPERLINK("http://slimages.macys.com/is/image/MCY/3717518 ")</f>
        <v xml:space="preserve">http://slimages.macys.com/is/image/MCY/3717518 </v>
      </c>
    </row>
    <row r="42" spans="1:11" ht="72.75" x14ac:dyDescent="0.25">
      <c r="A42" s="9" t="s">
        <v>157</v>
      </c>
      <c r="B42" s="3" t="s">
        <v>158</v>
      </c>
      <c r="C42" s="5">
        <v>1</v>
      </c>
      <c r="D42" s="10">
        <v>99.99</v>
      </c>
      <c r="E42" s="6">
        <v>99.99</v>
      </c>
      <c r="F42" s="5" t="s">
        <v>159</v>
      </c>
      <c r="G42" s="3" t="s">
        <v>160</v>
      </c>
      <c r="H42" s="11"/>
      <c r="I42" s="3" t="s">
        <v>161</v>
      </c>
      <c r="J42" s="3" t="s">
        <v>162</v>
      </c>
      <c r="K42" s="12" t="str">
        <f>HYPERLINK("http://slimages.macys.com/is/image/MCY/11607139 ")</f>
        <v xml:space="preserve">http://slimages.macys.com/is/image/MCY/11607139 </v>
      </c>
    </row>
    <row r="43" spans="1:11" ht="120.75" x14ac:dyDescent="0.25">
      <c r="A43" s="9" t="s">
        <v>163</v>
      </c>
      <c r="B43" s="3" t="s">
        <v>164</v>
      </c>
      <c r="C43" s="5">
        <v>1</v>
      </c>
      <c r="D43" s="10">
        <v>99.99</v>
      </c>
      <c r="E43" s="6">
        <v>99.99</v>
      </c>
      <c r="F43" s="5" t="s">
        <v>165</v>
      </c>
      <c r="G43" s="3" t="s">
        <v>32</v>
      </c>
      <c r="H43" s="11"/>
      <c r="I43" s="3" t="s">
        <v>43</v>
      </c>
      <c r="J43" s="3" t="s">
        <v>166</v>
      </c>
      <c r="K43" s="12" t="str">
        <f>HYPERLINK("http://slimages.macys.com/is/image/MCY/9188022 ")</f>
        <v xml:space="preserve">http://slimages.macys.com/is/image/MCY/9188022 </v>
      </c>
    </row>
    <row r="44" spans="1:11" ht="72.75" x14ac:dyDescent="0.25">
      <c r="A44" s="9" t="s">
        <v>167</v>
      </c>
      <c r="B44" s="3" t="s">
        <v>168</v>
      </c>
      <c r="C44" s="5">
        <v>1</v>
      </c>
      <c r="D44" s="10">
        <v>84.99</v>
      </c>
      <c r="E44" s="6">
        <v>84.99</v>
      </c>
      <c r="F44" s="5">
        <v>3514</v>
      </c>
      <c r="G44" s="3" t="s">
        <v>26</v>
      </c>
      <c r="H44" s="11"/>
      <c r="I44" s="3" t="s">
        <v>169</v>
      </c>
      <c r="J44" s="3" t="s">
        <v>170</v>
      </c>
      <c r="K44" s="12" t="str">
        <f>HYPERLINK("http://slimages.macys.com/is/image/MCY/14370773 ")</f>
        <v xml:space="preserve">http://slimages.macys.com/is/image/MCY/14370773 </v>
      </c>
    </row>
    <row r="45" spans="1:11" ht="72.75" x14ac:dyDescent="0.25">
      <c r="A45" s="9" t="s">
        <v>171</v>
      </c>
      <c r="B45" s="3" t="s">
        <v>172</v>
      </c>
      <c r="C45" s="5">
        <v>1</v>
      </c>
      <c r="D45" s="10">
        <v>95.99</v>
      </c>
      <c r="E45" s="6">
        <v>95.99</v>
      </c>
      <c r="F45" s="5" t="s">
        <v>173</v>
      </c>
      <c r="G45" s="3" t="s">
        <v>174</v>
      </c>
      <c r="H45" s="11"/>
      <c r="I45" s="3" t="s">
        <v>43</v>
      </c>
      <c r="J45" s="3" t="s">
        <v>175</v>
      </c>
      <c r="K45" s="12" t="str">
        <f>HYPERLINK("http://slimages.macys.com/is/image/MCY/9767736 ")</f>
        <v xml:space="preserve">http://slimages.macys.com/is/image/MCY/9767736 </v>
      </c>
    </row>
    <row r="46" spans="1:11" ht="72.75" x14ac:dyDescent="0.25">
      <c r="A46" s="9" t="s">
        <v>176</v>
      </c>
      <c r="B46" s="3" t="s">
        <v>177</v>
      </c>
      <c r="C46" s="5">
        <v>1</v>
      </c>
      <c r="D46" s="10">
        <v>59.99</v>
      </c>
      <c r="E46" s="6">
        <v>59.99</v>
      </c>
      <c r="F46" s="5" t="s">
        <v>178</v>
      </c>
      <c r="G46" s="3" t="s">
        <v>26</v>
      </c>
      <c r="H46" s="11"/>
      <c r="I46" s="3" t="s">
        <v>179</v>
      </c>
      <c r="J46" s="3"/>
      <c r="K46" s="12" t="str">
        <f>HYPERLINK("http://slimages.macys.com/is/image/MCY/8433247 ")</f>
        <v xml:space="preserve">http://slimages.macys.com/is/image/MCY/8433247 </v>
      </c>
    </row>
    <row r="47" spans="1:11" ht="72.75" x14ac:dyDescent="0.25">
      <c r="A47" s="9" t="s">
        <v>180</v>
      </c>
      <c r="B47" s="3" t="s">
        <v>181</v>
      </c>
      <c r="C47" s="5">
        <v>1</v>
      </c>
      <c r="D47" s="10">
        <v>99.99</v>
      </c>
      <c r="E47" s="6">
        <v>99.99</v>
      </c>
      <c r="F47" s="5" t="s">
        <v>182</v>
      </c>
      <c r="G47" s="3" t="s">
        <v>183</v>
      </c>
      <c r="H47" s="11"/>
      <c r="I47" s="3" t="s">
        <v>184</v>
      </c>
      <c r="J47" s="3" t="s">
        <v>88</v>
      </c>
      <c r="K47" s="12" t="str">
        <f>HYPERLINK("http://slimages.macys.com/is/image/MCY/12657211 ")</f>
        <v xml:space="preserve">http://slimages.macys.com/is/image/MCY/12657211 </v>
      </c>
    </row>
    <row r="48" spans="1:11" ht="72.75" x14ac:dyDescent="0.25">
      <c r="A48" s="9" t="s">
        <v>185</v>
      </c>
      <c r="B48" s="3" t="s">
        <v>186</v>
      </c>
      <c r="C48" s="5">
        <v>2</v>
      </c>
      <c r="D48" s="10">
        <v>68.989999999999995</v>
      </c>
      <c r="E48" s="6">
        <v>137.97999999999999</v>
      </c>
      <c r="F48" s="5" t="s">
        <v>187</v>
      </c>
      <c r="G48" s="3" t="s">
        <v>26</v>
      </c>
      <c r="H48" s="11"/>
      <c r="I48" s="3" t="s">
        <v>53</v>
      </c>
      <c r="J48" s="3" t="s">
        <v>54</v>
      </c>
      <c r="K48" s="12" t="str">
        <f>HYPERLINK("http://slimages.macys.com/is/image/MCY/12225387 ")</f>
        <v xml:space="preserve">http://slimages.macys.com/is/image/MCY/12225387 </v>
      </c>
    </row>
    <row r="49" spans="1:11" ht="84.75" x14ac:dyDescent="0.25">
      <c r="A49" s="9" t="s">
        <v>188</v>
      </c>
      <c r="B49" s="3" t="s">
        <v>189</v>
      </c>
      <c r="C49" s="5">
        <v>1</v>
      </c>
      <c r="D49" s="10">
        <v>149.99</v>
      </c>
      <c r="E49" s="6">
        <v>149.99</v>
      </c>
      <c r="F49" s="5" t="s">
        <v>190</v>
      </c>
      <c r="G49" s="3" t="s">
        <v>191</v>
      </c>
      <c r="H49" s="11"/>
      <c r="I49" s="3" t="s">
        <v>192</v>
      </c>
      <c r="J49" s="3" t="s">
        <v>193</v>
      </c>
      <c r="K49" s="12" t="str">
        <f>HYPERLINK("http://slimages.macys.com/is/image/MCY/3273626 ")</f>
        <v xml:space="preserve">http://slimages.macys.com/is/image/MCY/3273626 </v>
      </c>
    </row>
    <row r="50" spans="1:11" ht="72.75" x14ac:dyDescent="0.25">
      <c r="A50" s="9" t="s">
        <v>194</v>
      </c>
      <c r="B50" s="3" t="s">
        <v>195</v>
      </c>
      <c r="C50" s="5">
        <v>3</v>
      </c>
      <c r="D50" s="10">
        <v>71.989999999999995</v>
      </c>
      <c r="E50" s="6">
        <v>215.97</v>
      </c>
      <c r="F50" s="5" t="s">
        <v>196</v>
      </c>
      <c r="G50" s="3" t="s">
        <v>197</v>
      </c>
      <c r="H50" s="11"/>
      <c r="I50" s="3" t="s">
        <v>43</v>
      </c>
      <c r="J50" s="3" t="s">
        <v>198</v>
      </c>
      <c r="K50" s="12" t="str">
        <f>HYPERLINK("http://slimages.macys.com/is/image/MCY/9534093 ")</f>
        <v xml:space="preserve">http://slimages.macys.com/is/image/MCY/9534093 </v>
      </c>
    </row>
    <row r="51" spans="1:11" ht="72.75" x14ac:dyDescent="0.25">
      <c r="A51" s="9" t="s">
        <v>199</v>
      </c>
      <c r="B51" s="3" t="s">
        <v>200</v>
      </c>
      <c r="C51" s="5">
        <v>3</v>
      </c>
      <c r="D51" s="10">
        <v>71.989999999999995</v>
      </c>
      <c r="E51" s="6">
        <v>215.97</v>
      </c>
      <c r="F51" s="5" t="s">
        <v>201</v>
      </c>
      <c r="G51" s="3" t="s">
        <v>32</v>
      </c>
      <c r="H51" s="11"/>
      <c r="I51" s="3" t="s">
        <v>43</v>
      </c>
      <c r="J51" s="3" t="s">
        <v>198</v>
      </c>
      <c r="K51" s="12" t="str">
        <f>HYPERLINK("http://slimages.macys.com/is/image/MCY/9534093 ")</f>
        <v xml:space="preserve">http://slimages.macys.com/is/image/MCY/9534093 </v>
      </c>
    </row>
    <row r="52" spans="1:11" ht="72.75" x14ac:dyDescent="0.25">
      <c r="A52" s="9" t="s">
        <v>202</v>
      </c>
      <c r="B52" s="3" t="s">
        <v>203</v>
      </c>
      <c r="C52" s="5">
        <v>3</v>
      </c>
      <c r="D52" s="10">
        <v>71.989999999999995</v>
      </c>
      <c r="E52" s="6">
        <v>215.97</v>
      </c>
      <c r="F52" s="5" t="s">
        <v>204</v>
      </c>
      <c r="G52" s="3" t="s">
        <v>32</v>
      </c>
      <c r="H52" s="11"/>
      <c r="I52" s="3" t="s">
        <v>43</v>
      </c>
      <c r="J52" s="3" t="s">
        <v>198</v>
      </c>
      <c r="K52" s="12" t="str">
        <f>HYPERLINK("http://slimages.macys.com/is/image/MCY/9534093 ")</f>
        <v xml:space="preserve">http://slimages.macys.com/is/image/MCY/9534093 </v>
      </c>
    </row>
    <row r="53" spans="1:11" ht="72.75" x14ac:dyDescent="0.25">
      <c r="A53" s="9" t="s">
        <v>205</v>
      </c>
      <c r="B53" s="3" t="s">
        <v>206</v>
      </c>
      <c r="C53" s="5">
        <v>1</v>
      </c>
      <c r="D53" s="10">
        <v>59.99</v>
      </c>
      <c r="E53" s="6">
        <v>59.99</v>
      </c>
      <c r="F53" s="5">
        <v>861471</v>
      </c>
      <c r="G53" s="3" t="s">
        <v>174</v>
      </c>
      <c r="H53" s="11"/>
      <c r="I53" s="3" t="s">
        <v>207</v>
      </c>
      <c r="J53" s="3" t="s">
        <v>208</v>
      </c>
      <c r="K53" s="12" t="str">
        <f>HYPERLINK("http://slimages.macys.com/is/image/MCY/9745548 ")</f>
        <v xml:space="preserve">http://slimages.macys.com/is/image/MCY/9745548 </v>
      </c>
    </row>
    <row r="54" spans="1:11" ht="72.75" x14ac:dyDescent="0.25">
      <c r="A54" s="9" t="s">
        <v>209</v>
      </c>
      <c r="B54" s="3" t="s">
        <v>210</v>
      </c>
      <c r="C54" s="5">
        <v>1</v>
      </c>
      <c r="D54" s="10">
        <v>70.989999999999995</v>
      </c>
      <c r="E54" s="6">
        <v>70.989999999999995</v>
      </c>
      <c r="F54" s="5" t="s">
        <v>211</v>
      </c>
      <c r="G54" s="3" t="s">
        <v>32</v>
      </c>
      <c r="H54" s="11" t="s">
        <v>212</v>
      </c>
      <c r="I54" s="3" t="s">
        <v>213</v>
      </c>
      <c r="J54" s="3" t="s">
        <v>214</v>
      </c>
      <c r="K54" s="12" t="str">
        <f>HYPERLINK("http://slimages.macys.com/is/image/MCY/11798920 ")</f>
        <v xml:space="preserve">http://slimages.macys.com/is/image/MCY/11798920 </v>
      </c>
    </row>
    <row r="55" spans="1:11" ht="72.75" x14ac:dyDescent="0.25">
      <c r="A55" s="9" t="s">
        <v>215</v>
      </c>
      <c r="B55" s="3" t="s">
        <v>216</v>
      </c>
      <c r="C55" s="5">
        <v>2</v>
      </c>
      <c r="D55" s="10">
        <v>82.99</v>
      </c>
      <c r="E55" s="6">
        <v>165.98</v>
      </c>
      <c r="F55" s="5" t="s">
        <v>217</v>
      </c>
      <c r="G55" s="3" t="s">
        <v>26</v>
      </c>
      <c r="H55" s="11"/>
      <c r="I55" s="3" t="s">
        <v>218</v>
      </c>
      <c r="J55" s="3" t="s">
        <v>54</v>
      </c>
      <c r="K55" s="12" t="str">
        <f>HYPERLINK("http://slimages.macys.com/is/image/MCY/12213840 ")</f>
        <v xml:space="preserve">http://slimages.macys.com/is/image/MCY/12213840 </v>
      </c>
    </row>
    <row r="56" spans="1:11" ht="72.75" x14ac:dyDescent="0.25">
      <c r="A56" s="9" t="s">
        <v>219</v>
      </c>
      <c r="B56" s="3" t="s">
        <v>220</v>
      </c>
      <c r="C56" s="5">
        <v>1</v>
      </c>
      <c r="D56" s="10">
        <v>88.99</v>
      </c>
      <c r="E56" s="6">
        <v>88.99</v>
      </c>
      <c r="F56" s="5" t="s">
        <v>221</v>
      </c>
      <c r="G56" s="3" t="s">
        <v>222</v>
      </c>
      <c r="H56" s="11"/>
      <c r="I56" s="3" t="s">
        <v>65</v>
      </c>
      <c r="J56" s="3" t="s">
        <v>88</v>
      </c>
      <c r="K56" s="12" t="str">
        <f>HYPERLINK("http://slimages.macys.com/is/image/MCY/16503982 ")</f>
        <v xml:space="preserve">http://slimages.macys.com/is/image/MCY/16503982 </v>
      </c>
    </row>
    <row r="57" spans="1:11" ht="408.75" x14ac:dyDescent="0.25">
      <c r="A57" s="9" t="s">
        <v>223</v>
      </c>
      <c r="B57" s="3" t="s">
        <v>224</v>
      </c>
      <c r="C57" s="5">
        <v>1</v>
      </c>
      <c r="D57" s="10">
        <v>79.989999999999995</v>
      </c>
      <c r="E57" s="6">
        <v>79.989999999999995</v>
      </c>
      <c r="F57" s="5" t="s">
        <v>225</v>
      </c>
      <c r="G57" s="3" t="s">
        <v>32</v>
      </c>
      <c r="H57" s="11"/>
      <c r="I57" s="3" t="s">
        <v>43</v>
      </c>
      <c r="J57" s="3" t="s">
        <v>226</v>
      </c>
      <c r="K57" s="12" t="str">
        <f>HYPERLINK("http://slimages.macys.com/is/image/MCY/8939359 ")</f>
        <v xml:space="preserve">http://slimages.macys.com/is/image/MCY/8939359 </v>
      </c>
    </row>
    <row r="58" spans="1:11" ht="84.75" x14ac:dyDescent="0.25">
      <c r="A58" s="9" t="s">
        <v>227</v>
      </c>
      <c r="B58" s="3" t="s">
        <v>228</v>
      </c>
      <c r="C58" s="5">
        <v>1</v>
      </c>
      <c r="D58" s="10">
        <v>87.99</v>
      </c>
      <c r="E58" s="6">
        <v>87.99</v>
      </c>
      <c r="F58" s="5" t="s">
        <v>229</v>
      </c>
      <c r="G58" s="3" t="s">
        <v>230</v>
      </c>
      <c r="H58" s="11"/>
      <c r="I58" s="3" t="s">
        <v>231</v>
      </c>
      <c r="J58" s="3" t="s">
        <v>232</v>
      </c>
      <c r="K58" s="12" t="str">
        <f>HYPERLINK("http://slimages.macys.com/is/image/MCY/14735243 ")</f>
        <v xml:space="preserve">http://slimages.macys.com/is/image/MCY/14735243 </v>
      </c>
    </row>
    <row r="59" spans="1:11" ht="72.75" x14ac:dyDescent="0.25">
      <c r="A59" s="9" t="s">
        <v>233</v>
      </c>
      <c r="B59" s="3" t="s">
        <v>234</v>
      </c>
      <c r="C59" s="5">
        <v>2</v>
      </c>
      <c r="D59" s="10">
        <v>62.99</v>
      </c>
      <c r="E59" s="6">
        <v>125.98</v>
      </c>
      <c r="F59" s="5" t="s">
        <v>235</v>
      </c>
      <c r="G59" s="3" t="s">
        <v>26</v>
      </c>
      <c r="H59" s="11" t="s">
        <v>236</v>
      </c>
      <c r="I59" s="3" t="s">
        <v>213</v>
      </c>
      <c r="J59" s="3" t="s">
        <v>237</v>
      </c>
      <c r="K59" s="12" t="str">
        <f>HYPERLINK("http://slimages.macys.com/is/image/MCY/11798760 ")</f>
        <v xml:space="preserve">http://slimages.macys.com/is/image/MCY/11798760 </v>
      </c>
    </row>
    <row r="60" spans="1:11" ht="120.75" x14ac:dyDescent="0.25">
      <c r="A60" s="9" t="s">
        <v>238</v>
      </c>
      <c r="B60" s="3" t="s">
        <v>239</v>
      </c>
      <c r="C60" s="5">
        <v>1</v>
      </c>
      <c r="D60" s="10">
        <v>61.99</v>
      </c>
      <c r="E60" s="6">
        <v>61.99</v>
      </c>
      <c r="F60" s="5" t="s">
        <v>240</v>
      </c>
      <c r="G60" s="3" t="s">
        <v>241</v>
      </c>
      <c r="H60" s="11"/>
      <c r="I60" s="3" t="s">
        <v>242</v>
      </c>
      <c r="J60" s="3" t="s">
        <v>243</v>
      </c>
      <c r="K60" s="12" t="str">
        <f>HYPERLINK("http://slimages.macys.com/is/image/MCY/13534556 ")</f>
        <v xml:space="preserve">http://slimages.macys.com/is/image/MCY/13534556 </v>
      </c>
    </row>
    <row r="61" spans="1:11" ht="72.75" x14ac:dyDescent="0.25">
      <c r="A61" s="9" t="s">
        <v>244</v>
      </c>
      <c r="B61" s="3" t="s">
        <v>245</v>
      </c>
      <c r="C61" s="5">
        <v>6</v>
      </c>
      <c r="D61" s="10">
        <v>67.989999999999995</v>
      </c>
      <c r="E61" s="6">
        <v>407.94</v>
      </c>
      <c r="F61" s="5" t="s">
        <v>246</v>
      </c>
      <c r="G61" s="3" t="s">
        <v>32</v>
      </c>
      <c r="H61" s="11"/>
      <c r="I61" s="3" t="s">
        <v>144</v>
      </c>
      <c r="J61" s="3" t="s">
        <v>54</v>
      </c>
      <c r="K61" s="12" t="str">
        <f>HYPERLINK("http://slimages.macys.com/is/image/MCY/13066153 ")</f>
        <v xml:space="preserve">http://slimages.macys.com/is/image/MCY/13066153 </v>
      </c>
    </row>
    <row r="62" spans="1:11" ht="72.75" x14ac:dyDescent="0.25">
      <c r="A62" s="9" t="s">
        <v>247</v>
      </c>
      <c r="B62" s="3" t="s">
        <v>248</v>
      </c>
      <c r="C62" s="5">
        <v>2</v>
      </c>
      <c r="D62" s="10">
        <v>66.989999999999995</v>
      </c>
      <c r="E62" s="6">
        <v>133.97999999999999</v>
      </c>
      <c r="F62" s="5" t="s">
        <v>249</v>
      </c>
      <c r="G62" s="3" t="s">
        <v>26</v>
      </c>
      <c r="H62" s="11" t="s">
        <v>250</v>
      </c>
      <c r="I62" s="3" t="s">
        <v>251</v>
      </c>
      <c r="J62" s="3" t="s">
        <v>237</v>
      </c>
      <c r="K62" s="12" t="str">
        <f>HYPERLINK("http://slimages.macys.com/is/image/MCY/15165258 ")</f>
        <v xml:space="preserve">http://slimages.macys.com/is/image/MCY/15165258 </v>
      </c>
    </row>
    <row r="63" spans="1:11" ht="72.75" x14ac:dyDescent="0.25">
      <c r="A63" s="9" t="s">
        <v>252</v>
      </c>
      <c r="B63" s="3" t="s">
        <v>253</v>
      </c>
      <c r="C63" s="5">
        <v>1</v>
      </c>
      <c r="D63" s="10">
        <v>59.99</v>
      </c>
      <c r="E63" s="6">
        <v>59.99</v>
      </c>
      <c r="F63" s="5" t="s">
        <v>254</v>
      </c>
      <c r="G63" s="3" t="s">
        <v>38</v>
      </c>
      <c r="H63" s="11"/>
      <c r="I63" s="3" t="s">
        <v>43</v>
      </c>
      <c r="J63" s="3" t="s">
        <v>255</v>
      </c>
      <c r="K63" s="12" t="str">
        <f>HYPERLINK("http://slimages.macys.com/is/image/MCY/11679650 ")</f>
        <v xml:space="preserve">http://slimages.macys.com/is/image/MCY/11679650 </v>
      </c>
    </row>
    <row r="64" spans="1:11" ht="72.75" x14ac:dyDescent="0.25">
      <c r="A64" s="9" t="s">
        <v>256</v>
      </c>
      <c r="B64" s="3" t="s">
        <v>257</v>
      </c>
      <c r="C64" s="5">
        <v>2</v>
      </c>
      <c r="D64" s="10">
        <v>66.989999999999995</v>
      </c>
      <c r="E64" s="6">
        <v>133.97999999999999</v>
      </c>
      <c r="F64" s="5" t="s">
        <v>258</v>
      </c>
      <c r="G64" s="3" t="s">
        <v>26</v>
      </c>
      <c r="H64" s="11" t="s">
        <v>250</v>
      </c>
      <c r="I64" s="3" t="s">
        <v>251</v>
      </c>
      <c r="J64" s="3" t="s">
        <v>237</v>
      </c>
      <c r="K64" s="12" t="str">
        <f>HYPERLINK("http://slimages.macys.com/is/image/MCY/15165210 ")</f>
        <v xml:space="preserve">http://slimages.macys.com/is/image/MCY/15165210 </v>
      </c>
    </row>
    <row r="65" spans="1:11" ht="72.75" x14ac:dyDescent="0.25">
      <c r="A65" s="9" t="s">
        <v>259</v>
      </c>
      <c r="B65" s="3" t="s">
        <v>260</v>
      </c>
      <c r="C65" s="5">
        <v>1</v>
      </c>
      <c r="D65" s="10">
        <v>59.99</v>
      </c>
      <c r="E65" s="6">
        <v>59.99</v>
      </c>
      <c r="F65" s="5" t="s">
        <v>261</v>
      </c>
      <c r="G65" s="3"/>
      <c r="H65" s="11"/>
      <c r="I65" s="3" t="s">
        <v>43</v>
      </c>
      <c r="J65" s="3" t="s">
        <v>54</v>
      </c>
      <c r="K65" s="12" t="str">
        <f>HYPERLINK("http://slimages.macys.com/is/image/MCY/12791398 ")</f>
        <v xml:space="preserve">http://slimages.macys.com/is/image/MCY/12791398 </v>
      </c>
    </row>
    <row r="66" spans="1:11" ht="72.75" x14ac:dyDescent="0.25">
      <c r="A66" s="9" t="s">
        <v>262</v>
      </c>
      <c r="B66" s="3" t="s">
        <v>263</v>
      </c>
      <c r="C66" s="5">
        <v>1</v>
      </c>
      <c r="D66" s="10">
        <v>74.989999999999995</v>
      </c>
      <c r="E66" s="6">
        <v>74.989999999999995</v>
      </c>
      <c r="F66" s="5" t="s">
        <v>264</v>
      </c>
      <c r="G66" s="3" t="s">
        <v>265</v>
      </c>
      <c r="H66" s="11" t="s">
        <v>266</v>
      </c>
      <c r="I66" s="3" t="s">
        <v>267</v>
      </c>
      <c r="J66" s="3"/>
      <c r="K66" s="12" t="str">
        <f>HYPERLINK("http://slimages.macys.com/is/image/MCY/10233040 ")</f>
        <v xml:space="preserve">http://slimages.macys.com/is/image/MCY/10233040 </v>
      </c>
    </row>
    <row r="67" spans="1:11" ht="72.75" x14ac:dyDescent="0.25">
      <c r="A67" s="9" t="s">
        <v>268</v>
      </c>
      <c r="B67" s="3" t="s">
        <v>269</v>
      </c>
      <c r="C67" s="5">
        <v>4</v>
      </c>
      <c r="D67" s="10">
        <v>99.99</v>
      </c>
      <c r="E67" s="6">
        <v>399.96</v>
      </c>
      <c r="F67" s="5" t="s">
        <v>270</v>
      </c>
      <c r="G67" s="3" t="s">
        <v>32</v>
      </c>
      <c r="H67" s="11"/>
      <c r="I67" s="3" t="s">
        <v>271</v>
      </c>
      <c r="J67" s="3" t="s">
        <v>272</v>
      </c>
      <c r="K67" s="12" t="str">
        <f>HYPERLINK("http://slimages.macys.com/is/image/MCY/9593791 ")</f>
        <v xml:space="preserve">http://slimages.macys.com/is/image/MCY/9593791 </v>
      </c>
    </row>
    <row r="68" spans="1:11" ht="72.75" x14ac:dyDescent="0.25">
      <c r="A68" s="9" t="s">
        <v>268</v>
      </c>
      <c r="B68" s="3" t="s">
        <v>269</v>
      </c>
      <c r="C68" s="5">
        <v>1</v>
      </c>
      <c r="D68" s="10">
        <v>99.99</v>
      </c>
      <c r="E68" s="6">
        <v>99.99</v>
      </c>
      <c r="F68" s="5" t="s">
        <v>270</v>
      </c>
      <c r="G68" s="3" t="s">
        <v>32</v>
      </c>
      <c r="H68" s="11"/>
      <c r="I68" s="3" t="s">
        <v>271</v>
      </c>
      <c r="J68" s="3" t="s">
        <v>272</v>
      </c>
      <c r="K68" s="12" t="str">
        <f>HYPERLINK("http://slimages.macys.com/is/image/MCY/9593791 ")</f>
        <v xml:space="preserve">http://slimages.macys.com/is/image/MCY/9593791 </v>
      </c>
    </row>
    <row r="69" spans="1:11" ht="192.75" x14ac:dyDescent="0.25">
      <c r="A69" s="9" t="s">
        <v>273</v>
      </c>
      <c r="B69" s="3" t="s">
        <v>274</v>
      </c>
      <c r="C69" s="5">
        <v>2</v>
      </c>
      <c r="D69" s="10">
        <v>53.99</v>
      </c>
      <c r="E69" s="6">
        <v>107.98</v>
      </c>
      <c r="F69" s="5" t="s">
        <v>275</v>
      </c>
      <c r="G69" s="3" t="s">
        <v>26</v>
      </c>
      <c r="H69" s="11" t="s">
        <v>212</v>
      </c>
      <c r="I69" s="3" t="s">
        <v>213</v>
      </c>
      <c r="J69" s="3" t="s">
        <v>276</v>
      </c>
      <c r="K69" s="12" t="str">
        <f>HYPERLINK("http://slimages.macys.com/is/image/MCY/11798298 ")</f>
        <v xml:space="preserve">http://slimages.macys.com/is/image/MCY/11798298 </v>
      </c>
    </row>
    <row r="70" spans="1:11" ht="72.75" x14ac:dyDescent="0.25">
      <c r="A70" s="9" t="s">
        <v>277</v>
      </c>
      <c r="B70" s="3" t="s">
        <v>278</v>
      </c>
      <c r="C70" s="5">
        <v>4</v>
      </c>
      <c r="D70" s="10">
        <v>51.99</v>
      </c>
      <c r="E70" s="6">
        <v>207.96</v>
      </c>
      <c r="F70" s="5" t="s">
        <v>279</v>
      </c>
      <c r="G70" s="3" t="s">
        <v>32</v>
      </c>
      <c r="H70" s="11"/>
      <c r="I70" s="3" t="s">
        <v>43</v>
      </c>
      <c r="J70" s="3" t="s">
        <v>54</v>
      </c>
      <c r="K70" s="12" t="str">
        <f>HYPERLINK("http://slimages.macys.com/is/image/MCY/8216565 ")</f>
        <v xml:space="preserve">http://slimages.macys.com/is/image/MCY/8216565 </v>
      </c>
    </row>
    <row r="71" spans="1:11" ht="72.75" x14ac:dyDescent="0.25">
      <c r="A71" s="9" t="s">
        <v>280</v>
      </c>
      <c r="B71" s="3" t="s">
        <v>278</v>
      </c>
      <c r="C71" s="5">
        <v>4</v>
      </c>
      <c r="D71" s="10">
        <v>51.99</v>
      </c>
      <c r="E71" s="6">
        <v>207.96</v>
      </c>
      <c r="F71" s="5" t="s">
        <v>281</v>
      </c>
      <c r="G71" s="3" t="s">
        <v>26</v>
      </c>
      <c r="H71" s="11"/>
      <c r="I71" s="3" t="s">
        <v>43</v>
      </c>
      <c r="J71" s="3" t="s">
        <v>54</v>
      </c>
      <c r="K71" s="12" t="str">
        <f>HYPERLINK("http://slimages.macys.com/is/image/MCY/8216565 ")</f>
        <v xml:space="preserve">http://slimages.macys.com/is/image/MCY/8216565 </v>
      </c>
    </row>
    <row r="72" spans="1:11" ht="240.75" x14ac:dyDescent="0.25">
      <c r="A72" s="9" t="s">
        <v>282</v>
      </c>
      <c r="B72" s="3" t="s">
        <v>283</v>
      </c>
      <c r="C72" s="5">
        <v>1</v>
      </c>
      <c r="D72" s="10">
        <v>64.989999999999995</v>
      </c>
      <c r="E72" s="6">
        <v>64.989999999999995</v>
      </c>
      <c r="F72" s="5" t="s">
        <v>284</v>
      </c>
      <c r="G72" s="3" t="s">
        <v>32</v>
      </c>
      <c r="H72" s="11"/>
      <c r="I72" s="3" t="s">
        <v>43</v>
      </c>
      <c r="J72" s="3" t="s">
        <v>285</v>
      </c>
      <c r="K72" s="12" t="str">
        <f>HYPERLINK("http://slimages.macys.com/is/image/MCY/9492578 ")</f>
        <v xml:space="preserve">http://slimages.macys.com/is/image/MCY/9492578 </v>
      </c>
    </row>
    <row r="73" spans="1:11" ht="72.75" x14ac:dyDescent="0.25">
      <c r="A73" s="9" t="s">
        <v>286</v>
      </c>
      <c r="B73" s="3" t="s">
        <v>287</v>
      </c>
      <c r="C73" s="5">
        <v>1</v>
      </c>
      <c r="D73" s="10">
        <v>79.989999999999995</v>
      </c>
      <c r="E73" s="6">
        <v>79.989999999999995</v>
      </c>
      <c r="F73" s="5" t="s">
        <v>288</v>
      </c>
      <c r="G73" s="3" t="s">
        <v>26</v>
      </c>
      <c r="H73" s="11"/>
      <c r="I73" s="3" t="s">
        <v>289</v>
      </c>
      <c r="J73" s="3" t="s">
        <v>290</v>
      </c>
      <c r="K73" s="12" t="str">
        <f>HYPERLINK("http://slimages.macys.com/is/image/MCY/9021448 ")</f>
        <v xml:space="preserve">http://slimages.macys.com/is/image/MCY/9021448 </v>
      </c>
    </row>
    <row r="74" spans="1:11" ht="72.75" x14ac:dyDescent="0.25">
      <c r="A74" s="9" t="s">
        <v>291</v>
      </c>
      <c r="B74" s="3" t="s">
        <v>292</v>
      </c>
      <c r="C74" s="5">
        <v>1</v>
      </c>
      <c r="D74" s="10">
        <v>47.99</v>
      </c>
      <c r="E74" s="6">
        <v>47.99</v>
      </c>
      <c r="F74" s="5" t="s">
        <v>293</v>
      </c>
      <c r="G74" s="3" t="s">
        <v>294</v>
      </c>
      <c r="H74" s="11"/>
      <c r="I74" s="3" t="s">
        <v>93</v>
      </c>
      <c r="J74" s="3" t="s">
        <v>295</v>
      </c>
      <c r="K74" s="12" t="str">
        <f>HYPERLINK("http://slimages.macys.com/is/image/MCY/2870596 ")</f>
        <v xml:space="preserve">http://slimages.macys.com/is/image/MCY/2870596 </v>
      </c>
    </row>
    <row r="75" spans="1:11" ht="72.75" x14ac:dyDescent="0.25">
      <c r="A75" s="9" t="s">
        <v>296</v>
      </c>
      <c r="B75" s="3" t="s">
        <v>297</v>
      </c>
      <c r="C75" s="5">
        <v>1</v>
      </c>
      <c r="D75" s="10">
        <v>49.99</v>
      </c>
      <c r="E75" s="6">
        <v>49.99</v>
      </c>
      <c r="F75" s="5" t="s">
        <v>298</v>
      </c>
      <c r="G75" s="3" t="s">
        <v>299</v>
      </c>
      <c r="H75" s="11"/>
      <c r="I75" s="3" t="s">
        <v>300</v>
      </c>
      <c r="J75" s="3"/>
      <c r="K75" s="12" t="str">
        <f>HYPERLINK("http://slimages.macys.com/is/image/MCY/9843498 ")</f>
        <v xml:space="preserve">http://slimages.macys.com/is/image/MCY/9843498 </v>
      </c>
    </row>
    <row r="76" spans="1:11" ht="72.75" x14ac:dyDescent="0.25">
      <c r="A76" s="9" t="s">
        <v>301</v>
      </c>
      <c r="B76" s="3" t="s">
        <v>302</v>
      </c>
      <c r="C76" s="5">
        <v>1</v>
      </c>
      <c r="D76" s="10">
        <v>49.99</v>
      </c>
      <c r="E76" s="6">
        <v>49.99</v>
      </c>
      <c r="F76" s="5" t="s">
        <v>303</v>
      </c>
      <c r="G76" s="3" t="s">
        <v>174</v>
      </c>
      <c r="H76" s="11"/>
      <c r="I76" s="3" t="s">
        <v>300</v>
      </c>
      <c r="J76" s="3"/>
      <c r="K76" s="12" t="str">
        <f>HYPERLINK("http://slimages.macys.com/is/image/MCY/9843498 ")</f>
        <v xml:space="preserve">http://slimages.macys.com/is/image/MCY/9843498 </v>
      </c>
    </row>
    <row r="77" spans="1:11" ht="72.75" x14ac:dyDescent="0.25">
      <c r="A77" s="9" t="s">
        <v>304</v>
      </c>
      <c r="B77" s="3" t="s">
        <v>305</v>
      </c>
      <c r="C77" s="5">
        <v>1</v>
      </c>
      <c r="D77" s="10">
        <v>58.99</v>
      </c>
      <c r="E77" s="6">
        <v>58.99</v>
      </c>
      <c r="F77" s="5" t="s">
        <v>306</v>
      </c>
      <c r="G77" s="3" t="s">
        <v>265</v>
      </c>
      <c r="H77" s="11"/>
      <c r="I77" s="3" t="s">
        <v>43</v>
      </c>
      <c r="J77" s="3" t="s">
        <v>175</v>
      </c>
      <c r="K77" s="12" t="str">
        <f>HYPERLINK("http://slimages.macys.com/is/image/MCY/9767713 ")</f>
        <v xml:space="preserve">http://slimages.macys.com/is/image/MCY/9767713 </v>
      </c>
    </row>
    <row r="78" spans="1:11" ht="72.75" x14ac:dyDescent="0.25">
      <c r="A78" s="9" t="s">
        <v>307</v>
      </c>
      <c r="B78" s="3" t="s">
        <v>308</v>
      </c>
      <c r="C78" s="5">
        <v>1</v>
      </c>
      <c r="D78" s="10">
        <v>99.99</v>
      </c>
      <c r="E78" s="6">
        <v>99.99</v>
      </c>
      <c r="F78" s="5" t="s">
        <v>309</v>
      </c>
      <c r="G78" s="3" t="s">
        <v>92</v>
      </c>
      <c r="H78" s="11" t="s">
        <v>310</v>
      </c>
      <c r="I78" s="3" t="s">
        <v>192</v>
      </c>
      <c r="J78" s="3"/>
      <c r="K78" s="12" t="str">
        <f>HYPERLINK("http://slimages.macys.com/is/image/MCY/9468591 ")</f>
        <v xml:space="preserve">http://slimages.macys.com/is/image/MCY/9468591 </v>
      </c>
    </row>
    <row r="79" spans="1:11" ht="72.75" x14ac:dyDescent="0.25">
      <c r="A79" s="9" t="s">
        <v>311</v>
      </c>
      <c r="B79" s="3" t="s">
        <v>312</v>
      </c>
      <c r="C79" s="5">
        <v>1</v>
      </c>
      <c r="D79" s="10">
        <v>47.99</v>
      </c>
      <c r="E79" s="6">
        <v>47.99</v>
      </c>
      <c r="F79" s="5" t="s">
        <v>313</v>
      </c>
      <c r="G79" s="3" t="s">
        <v>82</v>
      </c>
      <c r="H79" s="11"/>
      <c r="I79" s="3" t="s">
        <v>314</v>
      </c>
      <c r="J79" s="3" t="s">
        <v>54</v>
      </c>
      <c r="K79" s="12" t="str">
        <f>HYPERLINK("http://slimages.macys.com/is/image/MCY/3465217 ")</f>
        <v xml:space="preserve">http://slimages.macys.com/is/image/MCY/3465217 </v>
      </c>
    </row>
    <row r="80" spans="1:11" ht="84.75" x14ac:dyDescent="0.25">
      <c r="A80" s="9" t="s">
        <v>315</v>
      </c>
      <c r="B80" s="3" t="s">
        <v>316</v>
      </c>
      <c r="C80" s="5">
        <v>1</v>
      </c>
      <c r="D80" s="10">
        <v>54.99</v>
      </c>
      <c r="E80" s="6">
        <v>54.99</v>
      </c>
      <c r="F80" s="5">
        <v>92156</v>
      </c>
      <c r="G80" s="3" t="s">
        <v>26</v>
      </c>
      <c r="H80" s="11"/>
      <c r="I80" s="3" t="s">
        <v>317</v>
      </c>
      <c r="J80" s="3" t="s">
        <v>318</v>
      </c>
      <c r="K80" s="12" t="str">
        <f>HYPERLINK("http://slimages.macys.com/is/image/MCY/8355136 ")</f>
        <v xml:space="preserve">http://slimages.macys.com/is/image/MCY/8355136 </v>
      </c>
    </row>
    <row r="81" spans="1:11" ht="72.75" x14ac:dyDescent="0.25">
      <c r="A81" s="9" t="s">
        <v>319</v>
      </c>
      <c r="B81" s="3" t="s">
        <v>320</v>
      </c>
      <c r="C81" s="5">
        <v>1</v>
      </c>
      <c r="D81" s="10">
        <v>50.99</v>
      </c>
      <c r="E81" s="6">
        <v>50.99</v>
      </c>
      <c r="F81" s="5" t="s">
        <v>321</v>
      </c>
      <c r="G81" s="3" t="s">
        <v>38</v>
      </c>
      <c r="H81" s="11"/>
      <c r="I81" s="3" t="s">
        <v>242</v>
      </c>
      <c r="J81" s="3" t="s">
        <v>322</v>
      </c>
      <c r="K81" s="12" t="str">
        <f>HYPERLINK("http://slimages.macys.com/is/image/MCY/13534451 ")</f>
        <v xml:space="preserve">http://slimages.macys.com/is/image/MCY/13534451 </v>
      </c>
    </row>
    <row r="82" spans="1:11" ht="72.75" x14ac:dyDescent="0.25">
      <c r="A82" s="9" t="s">
        <v>323</v>
      </c>
      <c r="B82" s="3" t="s">
        <v>324</v>
      </c>
      <c r="C82" s="5">
        <v>2</v>
      </c>
      <c r="D82" s="10">
        <v>49.99</v>
      </c>
      <c r="E82" s="6">
        <v>99.98</v>
      </c>
      <c r="F82" s="5" t="s">
        <v>325</v>
      </c>
      <c r="G82" s="3" t="s">
        <v>174</v>
      </c>
      <c r="H82" s="11"/>
      <c r="I82" s="3" t="s">
        <v>326</v>
      </c>
      <c r="J82" s="3" t="s">
        <v>327</v>
      </c>
      <c r="K82" s="12" t="str">
        <f>HYPERLINK("http://slimages.macys.com/is/image/MCY/3490693 ")</f>
        <v xml:space="preserve">http://slimages.macys.com/is/image/MCY/3490693 </v>
      </c>
    </row>
    <row r="83" spans="1:11" ht="84.75" x14ac:dyDescent="0.25">
      <c r="A83" s="9" t="s">
        <v>328</v>
      </c>
      <c r="B83" s="3" t="s">
        <v>329</v>
      </c>
      <c r="C83" s="5">
        <v>1</v>
      </c>
      <c r="D83" s="10">
        <v>59.99</v>
      </c>
      <c r="E83" s="6">
        <v>59.99</v>
      </c>
      <c r="F83" s="5" t="s">
        <v>330</v>
      </c>
      <c r="G83" s="3" t="s">
        <v>331</v>
      </c>
      <c r="H83" s="11"/>
      <c r="I83" s="3" t="s">
        <v>43</v>
      </c>
      <c r="J83" s="3" t="s">
        <v>332</v>
      </c>
      <c r="K83" s="12" t="str">
        <f>HYPERLINK("http://slimages.macys.com/is/image/MCY/9486399 ")</f>
        <v xml:space="preserve">http://slimages.macys.com/is/image/MCY/9486399 </v>
      </c>
    </row>
    <row r="84" spans="1:11" ht="72.75" x14ac:dyDescent="0.25">
      <c r="A84" s="9" t="s">
        <v>333</v>
      </c>
      <c r="B84" s="3" t="s">
        <v>334</v>
      </c>
      <c r="C84" s="5">
        <v>1</v>
      </c>
      <c r="D84" s="10">
        <v>44.99</v>
      </c>
      <c r="E84" s="6">
        <v>44.99</v>
      </c>
      <c r="F84" s="5">
        <v>18789</v>
      </c>
      <c r="G84" s="3"/>
      <c r="H84" s="11"/>
      <c r="I84" s="3" t="s">
        <v>335</v>
      </c>
      <c r="J84" s="3" t="s">
        <v>336</v>
      </c>
      <c r="K84" s="12" t="str">
        <f>HYPERLINK("http://slimages.macys.com/is/image/MCY/8330263 ")</f>
        <v xml:space="preserve">http://slimages.macys.com/is/image/MCY/8330263 </v>
      </c>
    </row>
    <row r="85" spans="1:11" ht="72.75" x14ac:dyDescent="0.25">
      <c r="A85" s="9" t="s">
        <v>337</v>
      </c>
      <c r="B85" s="3" t="s">
        <v>338</v>
      </c>
      <c r="C85" s="5">
        <v>1</v>
      </c>
      <c r="D85" s="10">
        <v>30.99</v>
      </c>
      <c r="E85" s="6">
        <v>30.99</v>
      </c>
      <c r="F85" s="5" t="s">
        <v>339</v>
      </c>
      <c r="G85" s="3" t="s">
        <v>26</v>
      </c>
      <c r="H85" s="11" t="s">
        <v>236</v>
      </c>
      <c r="I85" s="3" t="s">
        <v>340</v>
      </c>
      <c r="J85" s="3" t="s">
        <v>341</v>
      </c>
      <c r="K85" s="12" t="str">
        <f>HYPERLINK("http://slimages.macys.com/is/image/MCY/14754685 ")</f>
        <v xml:space="preserve">http://slimages.macys.com/is/image/MCY/14754685 </v>
      </c>
    </row>
    <row r="86" spans="1:11" ht="72.75" x14ac:dyDescent="0.25">
      <c r="A86" s="9" t="s">
        <v>342</v>
      </c>
      <c r="B86" s="3" t="s">
        <v>343</v>
      </c>
      <c r="C86" s="5">
        <v>1</v>
      </c>
      <c r="D86" s="10">
        <v>67.989999999999995</v>
      </c>
      <c r="E86" s="6">
        <v>67.989999999999995</v>
      </c>
      <c r="F86" s="5" t="s">
        <v>344</v>
      </c>
      <c r="G86" s="3" t="s">
        <v>345</v>
      </c>
      <c r="H86" s="11"/>
      <c r="I86" s="3" t="s">
        <v>144</v>
      </c>
      <c r="J86" s="3" t="s">
        <v>54</v>
      </c>
      <c r="K86" s="12" t="str">
        <f>HYPERLINK("http://slimages.macys.com/is/image/MCY/13066727 ")</f>
        <v xml:space="preserve">http://slimages.macys.com/is/image/MCY/13066727 </v>
      </c>
    </row>
    <row r="87" spans="1:11" ht="72.75" x14ac:dyDescent="0.25">
      <c r="A87" s="9" t="s">
        <v>346</v>
      </c>
      <c r="B87" s="3" t="s">
        <v>347</v>
      </c>
      <c r="C87" s="5">
        <v>1</v>
      </c>
      <c r="D87" s="10">
        <v>47.99</v>
      </c>
      <c r="E87" s="6">
        <v>47.99</v>
      </c>
      <c r="F87" s="5" t="s">
        <v>348</v>
      </c>
      <c r="G87" s="3" t="s">
        <v>92</v>
      </c>
      <c r="H87" s="11" t="s">
        <v>349</v>
      </c>
      <c r="I87" s="3" t="s">
        <v>242</v>
      </c>
      <c r="J87" s="3" t="s">
        <v>322</v>
      </c>
      <c r="K87" s="12" t="str">
        <f>HYPERLINK("http://slimages.macys.com/is/image/MCY/13632561 ")</f>
        <v xml:space="preserve">http://slimages.macys.com/is/image/MCY/13632561 </v>
      </c>
    </row>
    <row r="88" spans="1:11" ht="72.75" x14ac:dyDescent="0.25">
      <c r="A88" s="9" t="s">
        <v>350</v>
      </c>
      <c r="B88" s="3" t="s">
        <v>351</v>
      </c>
      <c r="C88" s="5">
        <v>2</v>
      </c>
      <c r="D88" s="10">
        <v>44.99</v>
      </c>
      <c r="E88" s="6">
        <v>89.98</v>
      </c>
      <c r="F88" s="5" t="s">
        <v>352</v>
      </c>
      <c r="G88" s="3" t="s">
        <v>26</v>
      </c>
      <c r="H88" s="11" t="s">
        <v>353</v>
      </c>
      <c r="I88" s="3" t="s">
        <v>43</v>
      </c>
      <c r="J88" s="3" t="s">
        <v>54</v>
      </c>
      <c r="K88" s="12" t="str">
        <f>HYPERLINK("http://slimages.macys.com/is/image/MCY/8216563 ")</f>
        <v xml:space="preserve">http://slimages.macys.com/is/image/MCY/8216563 </v>
      </c>
    </row>
    <row r="89" spans="1:11" ht="72.75" x14ac:dyDescent="0.25">
      <c r="A89" s="9" t="s">
        <v>354</v>
      </c>
      <c r="B89" s="3" t="s">
        <v>355</v>
      </c>
      <c r="C89" s="5">
        <v>1</v>
      </c>
      <c r="D89" s="10">
        <v>39.99</v>
      </c>
      <c r="E89" s="6">
        <v>39.99</v>
      </c>
      <c r="F89" s="5" t="s">
        <v>356</v>
      </c>
      <c r="G89" s="3" t="s">
        <v>357</v>
      </c>
      <c r="H89" s="11" t="s">
        <v>358</v>
      </c>
      <c r="I89" s="3" t="s">
        <v>359</v>
      </c>
      <c r="J89" s="3"/>
      <c r="K89" s="12" t="str">
        <f>HYPERLINK("http://slimages.macys.com/is/image/MCY/16008352 ")</f>
        <v xml:space="preserve">http://slimages.macys.com/is/image/MCY/16008352 </v>
      </c>
    </row>
    <row r="90" spans="1:11" ht="72.75" x14ac:dyDescent="0.25">
      <c r="A90" s="9" t="s">
        <v>360</v>
      </c>
      <c r="B90" s="3" t="s">
        <v>361</v>
      </c>
      <c r="C90" s="5">
        <v>1</v>
      </c>
      <c r="D90" s="10">
        <v>44.99</v>
      </c>
      <c r="E90" s="6">
        <v>44.99</v>
      </c>
      <c r="F90" s="5" t="s">
        <v>362</v>
      </c>
      <c r="G90" s="3" t="s">
        <v>183</v>
      </c>
      <c r="H90" s="11"/>
      <c r="I90" s="3" t="s">
        <v>363</v>
      </c>
      <c r="J90" s="3" t="s">
        <v>54</v>
      </c>
      <c r="K90" s="12" t="str">
        <f>HYPERLINK("http://slimages.macys.com/is/image/MCY/3552028 ")</f>
        <v xml:space="preserve">http://slimages.macys.com/is/image/MCY/3552028 </v>
      </c>
    </row>
    <row r="91" spans="1:11" ht="72.75" x14ac:dyDescent="0.25">
      <c r="A91" s="9" t="s">
        <v>364</v>
      </c>
      <c r="B91" s="3" t="s">
        <v>365</v>
      </c>
      <c r="C91" s="5">
        <v>3</v>
      </c>
      <c r="D91" s="10">
        <v>38.99</v>
      </c>
      <c r="E91" s="6">
        <v>116.97</v>
      </c>
      <c r="F91" s="5" t="s">
        <v>366</v>
      </c>
      <c r="G91" s="3" t="s">
        <v>38</v>
      </c>
      <c r="H91" s="11"/>
      <c r="I91" s="3" t="s">
        <v>43</v>
      </c>
      <c r="J91" s="3" t="s">
        <v>367</v>
      </c>
      <c r="K91" s="12" t="str">
        <f>HYPERLINK("http://slimages.macys.com/is/image/MCY/9534554 ")</f>
        <v xml:space="preserve">http://slimages.macys.com/is/image/MCY/9534554 </v>
      </c>
    </row>
    <row r="92" spans="1:11" ht="72.75" x14ac:dyDescent="0.25">
      <c r="A92" s="9" t="s">
        <v>368</v>
      </c>
      <c r="B92" s="3" t="s">
        <v>369</v>
      </c>
      <c r="C92" s="5">
        <v>2</v>
      </c>
      <c r="D92" s="10">
        <v>38.99</v>
      </c>
      <c r="E92" s="6">
        <v>77.98</v>
      </c>
      <c r="F92" s="5" t="s">
        <v>370</v>
      </c>
      <c r="G92" s="3" t="s">
        <v>26</v>
      </c>
      <c r="H92" s="11"/>
      <c r="I92" s="3" t="s">
        <v>43</v>
      </c>
      <c r="J92" s="3" t="s">
        <v>367</v>
      </c>
      <c r="K92" s="12" t="str">
        <f>HYPERLINK("http://slimages.macys.com/is/image/MCY/9534554 ")</f>
        <v xml:space="preserve">http://slimages.macys.com/is/image/MCY/9534554 </v>
      </c>
    </row>
    <row r="93" spans="1:11" ht="72.75" x14ac:dyDescent="0.25">
      <c r="A93" s="9" t="s">
        <v>371</v>
      </c>
      <c r="B93" s="3" t="s">
        <v>372</v>
      </c>
      <c r="C93" s="5">
        <v>1</v>
      </c>
      <c r="D93" s="10">
        <v>39.99</v>
      </c>
      <c r="E93" s="6">
        <v>39.99</v>
      </c>
      <c r="F93" s="5" t="s">
        <v>373</v>
      </c>
      <c r="G93" s="3" t="s">
        <v>191</v>
      </c>
      <c r="H93" s="11"/>
      <c r="I93" s="3" t="s">
        <v>374</v>
      </c>
      <c r="J93" s="3"/>
      <c r="K93" s="12" t="str">
        <f>HYPERLINK("http://slimages.macys.com/is/image/MCY/8623659 ")</f>
        <v xml:space="preserve">http://slimages.macys.com/is/image/MCY/8623659 </v>
      </c>
    </row>
    <row r="94" spans="1:11" ht="72.75" x14ac:dyDescent="0.25">
      <c r="A94" s="9" t="s">
        <v>375</v>
      </c>
      <c r="B94" s="3" t="s">
        <v>376</v>
      </c>
      <c r="C94" s="5">
        <v>2</v>
      </c>
      <c r="D94" s="10">
        <v>59.99</v>
      </c>
      <c r="E94" s="6">
        <v>119.98</v>
      </c>
      <c r="F94" s="5">
        <v>1001217100</v>
      </c>
      <c r="G94" s="3" t="s">
        <v>265</v>
      </c>
      <c r="H94" s="11" t="s">
        <v>358</v>
      </c>
      <c r="I94" s="3" t="s">
        <v>377</v>
      </c>
      <c r="J94" s="3"/>
      <c r="K94" s="12" t="str">
        <f>HYPERLINK("http://slimages.macys.com/is/image/MCY/9396635 ")</f>
        <v xml:space="preserve">http://slimages.macys.com/is/image/MCY/9396635 </v>
      </c>
    </row>
    <row r="95" spans="1:11" ht="72.75" x14ac:dyDescent="0.25">
      <c r="A95" s="9" t="s">
        <v>378</v>
      </c>
      <c r="B95" s="3" t="s">
        <v>379</v>
      </c>
      <c r="C95" s="5">
        <v>1</v>
      </c>
      <c r="D95" s="10">
        <v>34.99</v>
      </c>
      <c r="E95" s="6">
        <v>34.99</v>
      </c>
      <c r="F95" s="5" t="s">
        <v>380</v>
      </c>
      <c r="G95" s="3" t="s">
        <v>26</v>
      </c>
      <c r="H95" s="11" t="s">
        <v>381</v>
      </c>
      <c r="I95" s="3" t="s">
        <v>382</v>
      </c>
      <c r="J95" s="3" t="s">
        <v>54</v>
      </c>
      <c r="K95" s="12" t="str">
        <f>HYPERLINK("http://slimages.macys.com/is/image/MCY/1571457 ")</f>
        <v xml:space="preserve">http://slimages.macys.com/is/image/MCY/1571457 </v>
      </c>
    </row>
    <row r="96" spans="1:11" ht="72.75" x14ac:dyDescent="0.25">
      <c r="A96" s="9" t="s">
        <v>383</v>
      </c>
      <c r="B96" s="3" t="s">
        <v>384</v>
      </c>
      <c r="C96" s="5">
        <v>2</v>
      </c>
      <c r="D96" s="10">
        <v>42.99</v>
      </c>
      <c r="E96" s="6">
        <v>85.98</v>
      </c>
      <c r="F96" s="5" t="s">
        <v>385</v>
      </c>
      <c r="G96" s="3" t="s">
        <v>174</v>
      </c>
      <c r="H96" s="11"/>
      <c r="I96" s="3" t="s">
        <v>43</v>
      </c>
      <c r="J96" s="3"/>
      <c r="K96" s="12" t="str">
        <f>HYPERLINK("http://slimages.macys.com/is/image/MCY/9912812 ")</f>
        <v xml:space="preserve">http://slimages.macys.com/is/image/MCY/9912812 </v>
      </c>
    </row>
    <row r="97" spans="1:11" ht="72.75" x14ac:dyDescent="0.25">
      <c r="A97" s="9" t="s">
        <v>386</v>
      </c>
      <c r="B97" s="3" t="s">
        <v>387</v>
      </c>
      <c r="C97" s="5">
        <v>1</v>
      </c>
      <c r="D97" s="10">
        <v>38.99</v>
      </c>
      <c r="E97" s="6">
        <v>38.99</v>
      </c>
      <c r="F97" s="5" t="s">
        <v>388</v>
      </c>
      <c r="G97" s="3" t="s">
        <v>38</v>
      </c>
      <c r="H97" s="11"/>
      <c r="I97" s="3" t="s">
        <v>43</v>
      </c>
      <c r="J97" s="3"/>
      <c r="K97" s="12" t="str">
        <f>HYPERLINK("http://slimages.macys.com/is/image/MCY/9912812 ")</f>
        <v xml:space="preserve">http://slimages.macys.com/is/image/MCY/9912812 </v>
      </c>
    </row>
    <row r="98" spans="1:11" ht="72.75" x14ac:dyDescent="0.25">
      <c r="A98" s="9" t="s">
        <v>389</v>
      </c>
      <c r="B98" s="3" t="s">
        <v>390</v>
      </c>
      <c r="C98" s="5">
        <v>1</v>
      </c>
      <c r="D98" s="10">
        <v>49.99</v>
      </c>
      <c r="E98" s="6">
        <v>49.99</v>
      </c>
      <c r="F98" s="5" t="s">
        <v>391</v>
      </c>
      <c r="G98" s="3" t="s">
        <v>392</v>
      </c>
      <c r="H98" s="11"/>
      <c r="I98" s="3" t="s">
        <v>393</v>
      </c>
      <c r="J98" s="3" t="s">
        <v>237</v>
      </c>
      <c r="K98" s="12" t="str">
        <f>HYPERLINK("http://slimages.macys.com/is/image/MCY/11337386 ")</f>
        <v xml:space="preserve">http://slimages.macys.com/is/image/MCY/11337386 </v>
      </c>
    </row>
    <row r="99" spans="1:11" ht="72.75" x14ac:dyDescent="0.25">
      <c r="A99" s="9" t="s">
        <v>394</v>
      </c>
      <c r="B99" s="3" t="s">
        <v>395</v>
      </c>
      <c r="C99" s="5">
        <v>1</v>
      </c>
      <c r="D99" s="10">
        <v>49.99</v>
      </c>
      <c r="E99" s="6">
        <v>49.99</v>
      </c>
      <c r="F99" s="5" t="s">
        <v>396</v>
      </c>
      <c r="G99" s="3" t="s">
        <v>52</v>
      </c>
      <c r="H99" s="11"/>
      <c r="I99" s="3" t="s">
        <v>393</v>
      </c>
      <c r="J99" s="3" t="s">
        <v>54</v>
      </c>
      <c r="K99" s="12" t="str">
        <f>HYPERLINK("http://slimages.macys.com/is/image/MCY/1519751 ")</f>
        <v xml:space="preserve">http://slimages.macys.com/is/image/MCY/1519751 </v>
      </c>
    </row>
    <row r="100" spans="1:11" ht="72.75" x14ac:dyDescent="0.25">
      <c r="A100" s="9" t="s">
        <v>397</v>
      </c>
      <c r="B100" s="3" t="s">
        <v>398</v>
      </c>
      <c r="C100" s="5">
        <v>1</v>
      </c>
      <c r="D100" s="10">
        <v>41.99</v>
      </c>
      <c r="E100" s="6">
        <v>41.99</v>
      </c>
      <c r="F100" s="5" t="s">
        <v>399</v>
      </c>
      <c r="G100" s="3" t="s">
        <v>26</v>
      </c>
      <c r="H100" s="11" t="s">
        <v>381</v>
      </c>
      <c r="I100" s="3" t="s">
        <v>400</v>
      </c>
      <c r="J100" s="3" t="s">
        <v>237</v>
      </c>
      <c r="K100" s="12" t="str">
        <f>HYPERLINK("http://slimages.macys.com/is/image/MCY/11829914 ")</f>
        <v xml:space="preserve">http://slimages.macys.com/is/image/MCY/11829914 </v>
      </c>
    </row>
    <row r="101" spans="1:11" ht="72.75" x14ac:dyDescent="0.25">
      <c r="A101" s="9" t="s">
        <v>401</v>
      </c>
      <c r="B101" s="3" t="s">
        <v>402</v>
      </c>
      <c r="C101" s="5">
        <v>2</v>
      </c>
      <c r="D101" s="10">
        <v>59.99</v>
      </c>
      <c r="E101" s="6">
        <v>119.98</v>
      </c>
      <c r="F101" s="5">
        <v>10005023000</v>
      </c>
      <c r="G101" s="3" t="s">
        <v>345</v>
      </c>
      <c r="H101" s="11"/>
      <c r="I101" s="3" t="s">
        <v>377</v>
      </c>
      <c r="J101" s="3"/>
      <c r="K101" s="12" t="str">
        <f>HYPERLINK("http://slimages.macys.com/is/image/MCY/12656217 ")</f>
        <v xml:space="preserve">http://slimages.macys.com/is/image/MCY/12656217 </v>
      </c>
    </row>
    <row r="102" spans="1:11" ht="72.75" x14ac:dyDescent="0.25">
      <c r="A102" s="9" t="s">
        <v>403</v>
      </c>
      <c r="B102" s="3" t="s">
        <v>404</v>
      </c>
      <c r="C102" s="5">
        <v>2</v>
      </c>
      <c r="D102" s="10">
        <v>31.99</v>
      </c>
      <c r="E102" s="6">
        <v>63.98</v>
      </c>
      <c r="F102" s="5" t="s">
        <v>405</v>
      </c>
      <c r="G102" s="3" t="s">
        <v>406</v>
      </c>
      <c r="H102" s="11"/>
      <c r="I102" s="3" t="s">
        <v>43</v>
      </c>
      <c r="J102" s="3"/>
      <c r="K102" s="12" t="str">
        <f>HYPERLINK("http://slimages.macys.com/is/image/MCY/9911829 ")</f>
        <v xml:space="preserve">http://slimages.macys.com/is/image/MCY/9911829 </v>
      </c>
    </row>
    <row r="103" spans="1:11" ht="72.75" x14ac:dyDescent="0.25">
      <c r="A103" s="9" t="s">
        <v>407</v>
      </c>
      <c r="B103" s="3" t="s">
        <v>408</v>
      </c>
      <c r="C103" s="5">
        <v>1</v>
      </c>
      <c r="D103" s="10">
        <v>58.99</v>
      </c>
      <c r="E103" s="6">
        <v>58.99</v>
      </c>
      <c r="F103" s="5" t="s">
        <v>409</v>
      </c>
      <c r="G103" s="3" t="s">
        <v>38</v>
      </c>
      <c r="H103" s="11" t="s">
        <v>410</v>
      </c>
      <c r="I103" s="3" t="s">
        <v>65</v>
      </c>
      <c r="J103" s="3" t="s">
        <v>54</v>
      </c>
      <c r="K103" s="12" t="str">
        <f>HYPERLINK("http://slimages.macys.com/is/image/MCY/13827799 ")</f>
        <v xml:space="preserve">http://slimages.macys.com/is/image/MCY/13827799 </v>
      </c>
    </row>
    <row r="104" spans="1:11" ht="72.75" x14ac:dyDescent="0.25">
      <c r="A104" s="9" t="s">
        <v>411</v>
      </c>
      <c r="B104" s="3" t="s">
        <v>412</v>
      </c>
      <c r="C104" s="5">
        <v>2</v>
      </c>
      <c r="D104" s="10">
        <v>39.99</v>
      </c>
      <c r="E104" s="6">
        <v>79.98</v>
      </c>
      <c r="F104" s="5" t="s">
        <v>413</v>
      </c>
      <c r="G104" s="3"/>
      <c r="H104" s="11"/>
      <c r="I104" s="3" t="s">
        <v>414</v>
      </c>
      <c r="J104" s="3" t="s">
        <v>54</v>
      </c>
      <c r="K104" s="12" t="str">
        <f>HYPERLINK("http://slimages.macys.com/is/image/MCY/12325632 ")</f>
        <v xml:space="preserve">http://slimages.macys.com/is/image/MCY/12325632 </v>
      </c>
    </row>
    <row r="105" spans="1:11" ht="72.75" x14ac:dyDescent="0.25">
      <c r="A105" s="9" t="s">
        <v>415</v>
      </c>
      <c r="B105" s="3" t="s">
        <v>416</v>
      </c>
      <c r="C105" s="5">
        <v>1</v>
      </c>
      <c r="D105" s="10">
        <v>39.99</v>
      </c>
      <c r="E105" s="6">
        <v>39.99</v>
      </c>
      <c r="F105" s="5">
        <v>3037</v>
      </c>
      <c r="G105" s="3"/>
      <c r="H105" s="11"/>
      <c r="I105" s="3" t="s">
        <v>335</v>
      </c>
      <c r="J105" s="3"/>
      <c r="K105" s="12" t="str">
        <f>HYPERLINK("http://slimages.macys.com/is/image/MCY/9288847 ")</f>
        <v xml:space="preserve">http://slimages.macys.com/is/image/MCY/9288847 </v>
      </c>
    </row>
    <row r="106" spans="1:11" ht="72.75" x14ac:dyDescent="0.25">
      <c r="A106" s="9" t="s">
        <v>417</v>
      </c>
      <c r="B106" s="3" t="s">
        <v>418</v>
      </c>
      <c r="C106" s="5">
        <v>3</v>
      </c>
      <c r="D106" s="10">
        <v>39.99</v>
      </c>
      <c r="E106" s="6">
        <v>119.97</v>
      </c>
      <c r="F106" s="5">
        <v>3028</v>
      </c>
      <c r="G106" s="3"/>
      <c r="H106" s="11"/>
      <c r="I106" s="3" t="s">
        <v>335</v>
      </c>
      <c r="J106" s="3"/>
      <c r="K106" s="12" t="str">
        <f>HYPERLINK("http://slimages.macys.com/is/image/MCY/9288847 ")</f>
        <v xml:space="preserve">http://slimages.macys.com/is/image/MCY/9288847 </v>
      </c>
    </row>
    <row r="107" spans="1:11" ht="72.75" x14ac:dyDescent="0.25">
      <c r="A107" s="9" t="s">
        <v>419</v>
      </c>
      <c r="B107" s="3" t="s">
        <v>420</v>
      </c>
      <c r="C107" s="5">
        <v>1</v>
      </c>
      <c r="D107" s="10">
        <v>39.99</v>
      </c>
      <c r="E107" s="6">
        <v>39.99</v>
      </c>
      <c r="F107" s="5" t="s">
        <v>421</v>
      </c>
      <c r="G107" s="3" t="s">
        <v>422</v>
      </c>
      <c r="H107" s="11" t="s">
        <v>423</v>
      </c>
      <c r="I107" s="3" t="s">
        <v>43</v>
      </c>
      <c r="J107" s="3"/>
      <c r="K107" s="12" t="str">
        <f>HYPERLINK("http://slimages.macys.com/is/image/MCY/9025161 ")</f>
        <v xml:space="preserve">http://slimages.macys.com/is/image/MCY/9025161 </v>
      </c>
    </row>
    <row r="108" spans="1:11" ht="72.75" x14ac:dyDescent="0.25">
      <c r="A108" s="9" t="s">
        <v>424</v>
      </c>
      <c r="B108" s="3" t="s">
        <v>425</v>
      </c>
      <c r="C108" s="5">
        <v>2</v>
      </c>
      <c r="D108" s="10">
        <v>38.99</v>
      </c>
      <c r="E108" s="6">
        <v>77.98</v>
      </c>
      <c r="F108" s="5" t="s">
        <v>426</v>
      </c>
      <c r="G108" s="3" t="s">
        <v>38</v>
      </c>
      <c r="H108" s="11"/>
      <c r="I108" s="3" t="s">
        <v>43</v>
      </c>
      <c r="J108" s="3" t="s">
        <v>54</v>
      </c>
      <c r="K108" s="12" t="str">
        <f>HYPERLINK("http://slimages.macys.com/is/image/MCY/8216566 ")</f>
        <v xml:space="preserve">http://slimages.macys.com/is/image/MCY/8216566 </v>
      </c>
    </row>
    <row r="109" spans="1:11" ht="72.75" x14ac:dyDescent="0.25">
      <c r="A109" s="9" t="s">
        <v>427</v>
      </c>
      <c r="B109" s="3" t="s">
        <v>428</v>
      </c>
      <c r="C109" s="5">
        <v>2</v>
      </c>
      <c r="D109" s="10">
        <v>34.99</v>
      </c>
      <c r="E109" s="6">
        <v>69.98</v>
      </c>
      <c r="F109" s="5" t="s">
        <v>429</v>
      </c>
      <c r="G109" s="3" t="s">
        <v>230</v>
      </c>
      <c r="H109" s="11" t="s">
        <v>430</v>
      </c>
      <c r="I109" s="3" t="s">
        <v>359</v>
      </c>
      <c r="J109" s="3"/>
      <c r="K109" s="12" t="str">
        <f>HYPERLINK("http://slimages.macys.com/is/image/MCY/16008355 ")</f>
        <v xml:space="preserve">http://slimages.macys.com/is/image/MCY/16008355 </v>
      </c>
    </row>
    <row r="110" spans="1:11" ht="72.75" x14ac:dyDescent="0.25">
      <c r="A110" s="9" t="s">
        <v>431</v>
      </c>
      <c r="B110" s="3" t="s">
        <v>432</v>
      </c>
      <c r="C110" s="5">
        <v>1</v>
      </c>
      <c r="D110" s="10">
        <v>39.99</v>
      </c>
      <c r="E110" s="6">
        <v>39.99</v>
      </c>
      <c r="F110" s="5" t="s">
        <v>433</v>
      </c>
      <c r="G110" s="3" t="s">
        <v>222</v>
      </c>
      <c r="H110" s="11"/>
      <c r="I110" s="3" t="s">
        <v>43</v>
      </c>
      <c r="J110" s="3" t="s">
        <v>54</v>
      </c>
      <c r="K110" s="12" t="str">
        <f>HYPERLINK("http://slimages.macys.com/is/image/MCY/11703270 ")</f>
        <v xml:space="preserve">http://slimages.macys.com/is/image/MCY/11703270 </v>
      </c>
    </row>
    <row r="111" spans="1:11" ht="72.75" x14ac:dyDescent="0.25">
      <c r="A111" s="9" t="s">
        <v>434</v>
      </c>
      <c r="B111" s="3" t="s">
        <v>435</v>
      </c>
      <c r="C111" s="5">
        <v>1</v>
      </c>
      <c r="D111" s="10">
        <v>31.99</v>
      </c>
      <c r="E111" s="6">
        <v>31.99</v>
      </c>
      <c r="F111" s="5" t="s">
        <v>436</v>
      </c>
      <c r="G111" s="3" t="s">
        <v>331</v>
      </c>
      <c r="H111" s="11"/>
      <c r="I111" s="3" t="s">
        <v>43</v>
      </c>
      <c r="J111" s="3" t="s">
        <v>437</v>
      </c>
      <c r="K111" s="12" t="str">
        <f>HYPERLINK("http://slimages.macys.com/is/image/MCY/10082162 ")</f>
        <v xml:space="preserve">http://slimages.macys.com/is/image/MCY/10082162 </v>
      </c>
    </row>
    <row r="112" spans="1:11" ht="72.75" x14ac:dyDescent="0.25">
      <c r="A112" s="9" t="s">
        <v>431</v>
      </c>
      <c r="B112" s="3" t="s">
        <v>438</v>
      </c>
      <c r="C112" s="5">
        <v>1</v>
      </c>
      <c r="D112" s="10">
        <v>39.99</v>
      </c>
      <c r="E112" s="6">
        <v>39.99</v>
      </c>
      <c r="F112" s="5" t="s">
        <v>433</v>
      </c>
      <c r="G112" s="3" t="s">
        <v>222</v>
      </c>
      <c r="H112" s="11"/>
      <c r="I112" s="3" t="s">
        <v>43</v>
      </c>
      <c r="J112" s="3" t="s">
        <v>54</v>
      </c>
      <c r="K112" s="12" t="str">
        <f>HYPERLINK("http://slimages.macys.com/is/image/MCY/11703270 ")</f>
        <v xml:space="preserve">http://slimages.macys.com/is/image/MCY/11703270 </v>
      </c>
    </row>
    <row r="113" spans="1:11" ht="72.75" x14ac:dyDescent="0.25">
      <c r="A113" s="9" t="s">
        <v>439</v>
      </c>
      <c r="B113" s="3" t="s">
        <v>440</v>
      </c>
      <c r="C113" s="5">
        <v>2</v>
      </c>
      <c r="D113" s="10">
        <v>44.99</v>
      </c>
      <c r="E113" s="6">
        <v>89.98</v>
      </c>
      <c r="F113" s="5" t="s">
        <v>441</v>
      </c>
      <c r="G113" s="3" t="s">
        <v>52</v>
      </c>
      <c r="H113" s="11" t="s">
        <v>442</v>
      </c>
      <c r="I113" s="3" t="s">
        <v>443</v>
      </c>
      <c r="J113" s="3" t="s">
        <v>237</v>
      </c>
      <c r="K113" s="12" t="str">
        <f>HYPERLINK("http://slimages.macys.com/is/image/MCY/14436245 ")</f>
        <v xml:space="preserve">http://slimages.macys.com/is/image/MCY/14436245 </v>
      </c>
    </row>
    <row r="114" spans="1:11" ht="72.75" x14ac:dyDescent="0.25">
      <c r="A114" s="9" t="s">
        <v>444</v>
      </c>
      <c r="B114" s="3" t="s">
        <v>445</v>
      </c>
      <c r="C114" s="5">
        <v>6</v>
      </c>
      <c r="D114" s="10">
        <v>36.99</v>
      </c>
      <c r="E114" s="6">
        <v>221.94</v>
      </c>
      <c r="F114" s="5" t="s">
        <v>446</v>
      </c>
      <c r="G114" s="3" t="s">
        <v>32</v>
      </c>
      <c r="H114" s="11"/>
      <c r="I114" s="3" t="s">
        <v>43</v>
      </c>
      <c r="J114" s="3" t="s">
        <v>198</v>
      </c>
      <c r="K114" s="12" t="str">
        <f>HYPERLINK("http://slimages.macys.com/is/image/MCY/9929848 ")</f>
        <v xml:space="preserve">http://slimages.macys.com/is/image/MCY/9929848 </v>
      </c>
    </row>
    <row r="115" spans="1:11" ht="72.75" x14ac:dyDescent="0.25">
      <c r="A115" s="9" t="s">
        <v>447</v>
      </c>
      <c r="B115" s="3" t="s">
        <v>448</v>
      </c>
      <c r="C115" s="5">
        <v>1</v>
      </c>
      <c r="D115" s="10">
        <v>35.99</v>
      </c>
      <c r="E115" s="6">
        <v>35.99</v>
      </c>
      <c r="F115" s="5" t="s">
        <v>449</v>
      </c>
      <c r="G115" s="3" t="s">
        <v>92</v>
      </c>
      <c r="H115" s="11"/>
      <c r="I115" s="3" t="s">
        <v>93</v>
      </c>
      <c r="J115" s="3" t="s">
        <v>295</v>
      </c>
      <c r="K115" s="12" t="str">
        <f>HYPERLINK("http://slimages.macys.com/is/image/MCY/2870624 ")</f>
        <v xml:space="preserve">http://slimages.macys.com/is/image/MCY/2870624 </v>
      </c>
    </row>
    <row r="116" spans="1:11" ht="72.75" x14ac:dyDescent="0.25">
      <c r="A116" s="9" t="s">
        <v>450</v>
      </c>
      <c r="B116" s="3" t="s">
        <v>451</v>
      </c>
      <c r="C116" s="5">
        <v>7</v>
      </c>
      <c r="D116" s="10">
        <v>39.99</v>
      </c>
      <c r="E116" s="6">
        <v>279.93</v>
      </c>
      <c r="F116" s="5" t="s">
        <v>452</v>
      </c>
      <c r="G116" s="3" t="s">
        <v>38</v>
      </c>
      <c r="H116" s="11"/>
      <c r="I116" s="3" t="s">
        <v>377</v>
      </c>
      <c r="J116" s="3" t="s">
        <v>208</v>
      </c>
      <c r="K116" s="12" t="str">
        <f>HYPERLINK("http://slimages.macys.com/is/image/MCY/9853603 ")</f>
        <v xml:space="preserve">http://slimages.macys.com/is/image/MCY/9853603 </v>
      </c>
    </row>
    <row r="117" spans="1:11" ht="132.75" x14ac:dyDescent="0.25">
      <c r="A117" s="9" t="s">
        <v>453</v>
      </c>
      <c r="B117" s="3" t="s">
        <v>454</v>
      </c>
      <c r="C117" s="5">
        <v>1</v>
      </c>
      <c r="D117" s="10">
        <v>49.99</v>
      </c>
      <c r="E117" s="6">
        <v>49.99</v>
      </c>
      <c r="F117" s="5" t="s">
        <v>455</v>
      </c>
      <c r="G117" s="3" t="s">
        <v>32</v>
      </c>
      <c r="H117" s="11"/>
      <c r="I117" s="3" t="s">
        <v>43</v>
      </c>
      <c r="J117" s="3" t="s">
        <v>456</v>
      </c>
      <c r="K117" s="12" t="str">
        <f>HYPERLINK("http://slimages.macys.com/is/image/MCY/9492570 ")</f>
        <v xml:space="preserve">http://slimages.macys.com/is/image/MCY/9492570 </v>
      </c>
    </row>
    <row r="118" spans="1:11" ht="84.75" x14ac:dyDescent="0.25">
      <c r="A118" s="9" t="s">
        <v>457</v>
      </c>
      <c r="B118" s="3" t="s">
        <v>458</v>
      </c>
      <c r="C118" s="5">
        <v>1</v>
      </c>
      <c r="D118" s="10">
        <v>49.99</v>
      </c>
      <c r="E118" s="6">
        <v>49.99</v>
      </c>
      <c r="F118" s="5">
        <v>100028780</v>
      </c>
      <c r="G118" s="3" t="s">
        <v>459</v>
      </c>
      <c r="H118" s="11" t="s">
        <v>423</v>
      </c>
      <c r="I118" s="3" t="s">
        <v>460</v>
      </c>
      <c r="J118" s="3" t="s">
        <v>461</v>
      </c>
      <c r="K118" s="12" t="str">
        <f>HYPERLINK("http://slimages.macys.com/is/image/MCY/9852676 ")</f>
        <v xml:space="preserve">http://slimages.macys.com/is/image/MCY/9852676 </v>
      </c>
    </row>
    <row r="119" spans="1:11" ht="72.75" x14ac:dyDescent="0.25">
      <c r="A119" s="9" t="s">
        <v>462</v>
      </c>
      <c r="B119" s="3" t="s">
        <v>463</v>
      </c>
      <c r="C119" s="5">
        <v>2</v>
      </c>
      <c r="D119" s="10">
        <v>29.99</v>
      </c>
      <c r="E119" s="6">
        <v>59.98</v>
      </c>
      <c r="F119" s="5" t="s">
        <v>464</v>
      </c>
      <c r="G119" s="3" t="s">
        <v>38</v>
      </c>
      <c r="H119" s="11"/>
      <c r="I119" s="3" t="s">
        <v>465</v>
      </c>
      <c r="J119" s="3"/>
      <c r="K119" s="12" t="str">
        <f>HYPERLINK("http://slimages.macys.com/is/image/MCY/13384485 ")</f>
        <v xml:space="preserve">http://slimages.macys.com/is/image/MCY/13384485 </v>
      </c>
    </row>
    <row r="120" spans="1:11" ht="72.75" x14ac:dyDescent="0.25">
      <c r="A120" s="9" t="s">
        <v>466</v>
      </c>
      <c r="B120" s="3" t="s">
        <v>467</v>
      </c>
      <c r="C120" s="5">
        <v>1</v>
      </c>
      <c r="D120" s="10">
        <v>29.99</v>
      </c>
      <c r="E120" s="6">
        <v>29.99</v>
      </c>
      <c r="F120" s="5" t="s">
        <v>468</v>
      </c>
      <c r="G120" s="3" t="s">
        <v>469</v>
      </c>
      <c r="H120" s="11"/>
      <c r="I120" s="3" t="s">
        <v>470</v>
      </c>
      <c r="J120" s="3" t="s">
        <v>471</v>
      </c>
      <c r="K120" s="12" t="str">
        <f>HYPERLINK("http://slimages.macys.com/is/image/MCY/9169530 ")</f>
        <v xml:space="preserve">http://slimages.macys.com/is/image/MCY/9169530 </v>
      </c>
    </row>
    <row r="121" spans="1:11" ht="84.75" x14ac:dyDescent="0.25">
      <c r="A121" s="9" t="s">
        <v>472</v>
      </c>
      <c r="B121" s="3" t="s">
        <v>473</v>
      </c>
      <c r="C121" s="5">
        <v>4</v>
      </c>
      <c r="D121" s="10">
        <v>35.99</v>
      </c>
      <c r="E121" s="6">
        <v>143.96</v>
      </c>
      <c r="F121" s="5" t="s">
        <v>474</v>
      </c>
      <c r="G121" s="3" t="s">
        <v>475</v>
      </c>
      <c r="H121" s="11"/>
      <c r="I121" s="3" t="s">
        <v>43</v>
      </c>
      <c r="J121" s="3" t="s">
        <v>476</v>
      </c>
      <c r="K121" s="12" t="str">
        <f>HYPERLINK("http://slimages.macys.com/is/image/MCY/8216605 ")</f>
        <v xml:space="preserve">http://slimages.macys.com/is/image/MCY/8216605 </v>
      </c>
    </row>
    <row r="122" spans="1:11" ht="72.75" x14ac:dyDescent="0.25">
      <c r="A122" s="9" t="s">
        <v>477</v>
      </c>
      <c r="B122" s="3" t="s">
        <v>478</v>
      </c>
      <c r="C122" s="5">
        <v>1</v>
      </c>
      <c r="D122" s="10">
        <v>34.99</v>
      </c>
      <c r="E122" s="6">
        <v>34.99</v>
      </c>
      <c r="F122" s="5" t="s">
        <v>479</v>
      </c>
      <c r="G122" s="3" t="s">
        <v>32</v>
      </c>
      <c r="H122" s="11" t="s">
        <v>423</v>
      </c>
      <c r="I122" s="3" t="s">
        <v>359</v>
      </c>
      <c r="J122" s="3"/>
      <c r="K122" s="12" t="str">
        <f>HYPERLINK("http://slimages.macys.com/is/image/MCY/14374258 ")</f>
        <v xml:space="preserve">http://slimages.macys.com/is/image/MCY/14374258 </v>
      </c>
    </row>
    <row r="123" spans="1:11" ht="72.75" x14ac:dyDescent="0.25">
      <c r="A123" s="9" t="s">
        <v>480</v>
      </c>
      <c r="B123" s="3" t="s">
        <v>481</v>
      </c>
      <c r="C123" s="5">
        <v>1</v>
      </c>
      <c r="D123" s="10">
        <v>39.99</v>
      </c>
      <c r="E123" s="6">
        <v>39.99</v>
      </c>
      <c r="F123" s="5" t="s">
        <v>482</v>
      </c>
      <c r="G123" s="3"/>
      <c r="H123" s="11"/>
      <c r="I123" s="3" t="s">
        <v>33</v>
      </c>
      <c r="J123" s="3" t="s">
        <v>483</v>
      </c>
      <c r="K123" s="12" t="str">
        <f>HYPERLINK("http://slimages.macys.com/is/image/MCY/8152576 ")</f>
        <v xml:space="preserve">http://slimages.macys.com/is/image/MCY/8152576 </v>
      </c>
    </row>
    <row r="124" spans="1:11" ht="72.75" x14ac:dyDescent="0.25">
      <c r="A124" s="9" t="s">
        <v>484</v>
      </c>
      <c r="B124" s="3" t="s">
        <v>485</v>
      </c>
      <c r="C124" s="5">
        <v>1</v>
      </c>
      <c r="D124" s="10">
        <v>29.99</v>
      </c>
      <c r="E124" s="6">
        <v>29.99</v>
      </c>
      <c r="F124" s="5" t="s">
        <v>486</v>
      </c>
      <c r="G124" s="3" t="s">
        <v>299</v>
      </c>
      <c r="H124" s="11"/>
      <c r="I124" s="3" t="s">
        <v>487</v>
      </c>
      <c r="J124" s="3" t="s">
        <v>488</v>
      </c>
      <c r="K124" s="12" t="str">
        <f>HYPERLINK("http://slimages.macys.com/is/image/MCY/9322265 ")</f>
        <v xml:space="preserve">http://slimages.macys.com/is/image/MCY/9322265 </v>
      </c>
    </row>
    <row r="125" spans="1:11" ht="72.75" x14ac:dyDescent="0.25">
      <c r="A125" s="9" t="s">
        <v>489</v>
      </c>
      <c r="B125" s="3" t="s">
        <v>490</v>
      </c>
      <c r="C125" s="5">
        <v>1</v>
      </c>
      <c r="D125" s="10">
        <v>39.99</v>
      </c>
      <c r="E125" s="6">
        <v>39.99</v>
      </c>
      <c r="F125" s="5" t="s">
        <v>491</v>
      </c>
      <c r="G125" s="3" t="s">
        <v>492</v>
      </c>
      <c r="H125" s="11"/>
      <c r="I125" s="3" t="s">
        <v>493</v>
      </c>
      <c r="J125" s="3"/>
      <c r="K125" s="12" t="str">
        <f>HYPERLINK("http://slimages.macys.com/is/image/MCY/9220398 ")</f>
        <v xml:space="preserve">http://slimages.macys.com/is/image/MCY/9220398 </v>
      </c>
    </row>
    <row r="126" spans="1:11" ht="72.75" x14ac:dyDescent="0.25">
      <c r="A126" s="9" t="s">
        <v>494</v>
      </c>
      <c r="B126" s="3" t="s">
        <v>495</v>
      </c>
      <c r="C126" s="5">
        <v>1</v>
      </c>
      <c r="D126" s="10">
        <v>32.99</v>
      </c>
      <c r="E126" s="6">
        <v>32.99</v>
      </c>
      <c r="F126" s="5" t="s">
        <v>496</v>
      </c>
      <c r="G126" s="3" t="s">
        <v>174</v>
      </c>
      <c r="H126" s="11"/>
      <c r="I126" s="3" t="s">
        <v>497</v>
      </c>
      <c r="J126" s="3" t="s">
        <v>498</v>
      </c>
      <c r="K126" s="12" t="str">
        <f>HYPERLINK("http://slimages.macys.com/is/image/MCY/3675413 ")</f>
        <v xml:space="preserve">http://slimages.macys.com/is/image/MCY/3675413 </v>
      </c>
    </row>
    <row r="127" spans="1:11" ht="72.75" x14ac:dyDescent="0.25">
      <c r="A127" s="9" t="s">
        <v>499</v>
      </c>
      <c r="B127" s="3" t="s">
        <v>500</v>
      </c>
      <c r="C127" s="5">
        <v>1</v>
      </c>
      <c r="D127" s="10">
        <v>39.99</v>
      </c>
      <c r="E127" s="6">
        <v>39.99</v>
      </c>
      <c r="F127" s="5" t="s">
        <v>501</v>
      </c>
      <c r="G127" s="3" t="s">
        <v>492</v>
      </c>
      <c r="H127" s="11"/>
      <c r="I127" s="3" t="s">
        <v>271</v>
      </c>
      <c r="J127" s="3" t="s">
        <v>502</v>
      </c>
      <c r="K127" s="12" t="str">
        <f>HYPERLINK("http://slimages.macys.com/is/image/MCY/8598214 ")</f>
        <v xml:space="preserve">http://slimages.macys.com/is/image/MCY/8598214 </v>
      </c>
    </row>
    <row r="128" spans="1:11" ht="72.75" x14ac:dyDescent="0.25">
      <c r="A128" s="9" t="s">
        <v>503</v>
      </c>
      <c r="B128" s="3" t="s">
        <v>504</v>
      </c>
      <c r="C128" s="5">
        <v>2</v>
      </c>
      <c r="D128" s="10">
        <v>26.99</v>
      </c>
      <c r="E128" s="6">
        <v>53.98</v>
      </c>
      <c r="F128" s="5" t="s">
        <v>505</v>
      </c>
      <c r="G128" s="3" t="s">
        <v>506</v>
      </c>
      <c r="H128" s="11" t="s">
        <v>423</v>
      </c>
      <c r="I128" s="3" t="s">
        <v>43</v>
      </c>
      <c r="J128" s="3" t="s">
        <v>507</v>
      </c>
      <c r="K128" s="12" t="str">
        <f>HYPERLINK("http://slimages.macys.com/is/image/MCY/9613901 ")</f>
        <v xml:space="preserve">http://slimages.macys.com/is/image/MCY/9613901 </v>
      </c>
    </row>
    <row r="129" spans="1:11" ht="72.75" x14ac:dyDescent="0.25">
      <c r="A129" s="9" t="s">
        <v>508</v>
      </c>
      <c r="B129" s="3" t="s">
        <v>509</v>
      </c>
      <c r="C129" s="5">
        <v>2</v>
      </c>
      <c r="D129" s="10">
        <v>26.99</v>
      </c>
      <c r="E129" s="6">
        <v>53.98</v>
      </c>
      <c r="F129" s="5" t="s">
        <v>510</v>
      </c>
      <c r="G129" s="3" t="s">
        <v>38</v>
      </c>
      <c r="H129" s="11" t="s">
        <v>423</v>
      </c>
      <c r="I129" s="3" t="s">
        <v>43</v>
      </c>
      <c r="J129" s="3" t="s">
        <v>507</v>
      </c>
      <c r="K129" s="12" t="str">
        <f>HYPERLINK("http://slimages.macys.com/is/image/MCY/9613901 ")</f>
        <v xml:space="preserve">http://slimages.macys.com/is/image/MCY/9613901 </v>
      </c>
    </row>
    <row r="130" spans="1:11" ht="72.75" x14ac:dyDescent="0.25">
      <c r="A130" s="9" t="s">
        <v>511</v>
      </c>
      <c r="B130" s="3" t="s">
        <v>512</v>
      </c>
      <c r="C130" s="5">
        <v>1</v>
      </c>
      <c r="D130" s="10">
        <v>38.99</v>
      </c>
      <c r="E130" s="6">
        <v>38.99</v>
      </c>
      <c r="F130" s="5" t="s">
        <v>513</v>
      </c>
      <c r="G130" s="3" t="s">
        <v>52</v>
      </c>
      <c r="H130" s="11"/>
      <c r="I130" s="3" t="s">
        <v>443</v>
      </c>
      <c r="J130" s="3" t="s">
        <v>237</v>
      </c>
      <c r="K130" s="12" t="str">
        <f>HYPERLINK("http://slimages.macys.com/is/image/MCY/14436241 ")</f>
        <v xml:space="preserve">http://slimages.macys.com/is/image/MCY/14436241 </v>
      </c>
    </row>
    <row r="131" spans="1:11" ht="72.75" x14ac:dyDescent="0.25">
      <c r="A131" s="9" t="s">
        <v>514</v>
      </c>
      <c r="B131" s="3" t="s">
        <v>515</v>
      </c>
      <c r="C131" s="5">
        <v>2</v>
      </c>
      <c r="D131" s="10">
        <v>38.99</v>
      </c>
      <c r="E131" s="6">
        <v>77.98</v>
      </c>
      <c r="F131" s="5" t="s">
        <v>513</v>
      </c>
      <c r="G131" s="3" t="s">
        <v>26</v>
      </c>
      <c r="H131" s="11"/>
      <c r="I131" s="3" t="s">
        <v>443</v>
      </c>
      <c r="J131" s="3" t="s">
        <v>237</v>
      </c>
      <c r="K131" s="12" t="str">
        <f>HYPERLINK("http://slimages.macys.com/is/image/MCY/14436241 ")</f>
        <v xml:space="preserve">http://slimages.macys.com/is/image/MCY/14436241 </v>
      </c>
    </row>
    <row r="132" spans="1:11" ht="72.75" x14ac:dyDescent="0.25">
      <c r="A132" s="9" t="s">
        <v>516</v>
      </c>
      <c r="B132" s="3" t="s">
        <v>517</v>
      </c>
      <c r="C132" s="5">
        <v>1</v>
      </c>
      <c r="D132" s="10">
        <v>44.99</v>
      </c>
      <c r="E132" s="6">
        <v>44.99</v>
      </c>
      <c r="F132" s="5" t="s">
        <v>518</v>
      </c>
      <c r="G132" s="3" t="s">
        <v>135</v>
      </c>
      <c r="H132" s="11" t="s">
        <v>381</v>
      </c>
      <c r="I132" s="3" t="s">
        <v>519</v>
      </c>
      <c r="J132" s="3" t="s">
        <v>520</v>
      </c>
      <c r="K132" s="12" t="str">
        <f>HYPERLINK("http://slimages.macys.com/is/image/MCY/9456526 ")</f>
        <v xml:space="preserve">http://slimages.macys.com/is/image/MCY/9456526 </v>
      </c>
    </row>
    <row r="133" spans="1:11" ht="72.75" x14ac:dyDescent="0.25">
      <c r="A133" s="9" t="s">
        <v>521</v>
      </c>
      <c r="B133" s="3" t="s">
        <v>522</v>
      </c>
      <c r="C133" s="5">
        <v>1</v>
      </c>
      <c r="D133" s="10">
        <v>24.99</v>
      </c>
      <c r="E133" s="6">
        <v>24.99</v>
      </c>
      <c r="F133" s="5" t="s">
        <v>523</v>
      </c>
      <c r="G133" s="3" t="s">
        <v>92</v>
      </c>
      <c r="H133" s="11"/>
      <c r="I133" s="3" t="s">
        <v>43</v>
      </c>
      <c r="J133" s="3"/>
      <c r="K133" s="12" t="str">
        <f>HYPERLINK("http://slimages.macys.com/is/image/MCY/11706602 ")</f>
        <v xml:space="preserve">http://slimages.macys.com/is/image/MCY/11706602 </v>
      </c>
    </row>
    <row r="134" spans="1:11" ht="72.75" x14ac:dyDescent="0.25">
      <c r="A134" s="9" t="s">
        <v>524</v>
      </c>
      <c r="B134" s="3" t="s">
        <v>525</v>
      </c>
      <c r="C134" s="5">
        <v>1</v>
      </c>
      <c r="D134" s="10">
        <v>30.99</v>
      </c>
      <c r="E134" s="6">
        <v>30.99</v>
      </c>
      <c r="F134" s="5" t="s">
        <v>339</v>
      </c>
      <c r="G134" s="3" t="s">
        <v>26</v>
      </c>
      <c r="H134" s="11" t="s">
        <v>526</v>
      </c>
      <c r="I134" s="3" t="s">
        <v>340</v>
      </c>
      <c r="J134" s="3" t="s">
        <v>341</v>
      </c>
      <c r="K134" s="12" t="str">
        <f>HYPERLINK("http://slimages.macys.com/is/image/MCY/14754685 ")</f>
        <v xml:space="preserve">http://slimages.macys.com/is/image/MCY/14754685 </v>
      </c>
    </row>
    <row r="135" spans="1:11" ht="72.75" x14ac:dyDescent="0.25">
      <c r="A135" s="9" t="s">
        <v>527</v>
      </c>
      <c r="B135" s="3" t="s">
        <v>528</v>
      </c>
      <c r="C135" s="5">
        <v>1</v>
      </c>
      <c r="D135" s="10">
        <v>35.99</v>
      </c>
      <c r="E135" s="6">
        <v>35.99</v>
      </c>
      <c r="F135" s="5" t="s">
        <v>529</v>
      </c>
      <c r="G135" s="3" t="s">
        <v>530</v>
      </c>
      <c r="H135" s="11"/>
      <c r="I135" s="3" t="s">
        <v>531</v>
      </c>
      <c r="J135" s="3" t="s">
        <v>237</v>
      </c>
      <c r="K135" s="12" t="str">
        <f>HYPERLINK("http://slimages.macys.com/is/image/MCY/11685227 ")</f>
        <v xml:space="preserve">http://slimages.macys.com/is/image/MCY/11685227 </v>
      </c>
    </row>
    <row r="136" spans="1:11" ht="72.75" x14ac:dyDescent="0.25">
      <c r="A136" s="9" t="s">
        <v>532</v>
      </c>
      <c r="B136" s="3" t="s">
        <v>533</v>
      </c>
      <c r="C136" s="5">
        <v>3</v>
      </c>
      <c r="D136" s="10">
        <v>35.99</v>
      </c>
      <c r="E136" s="6">
        <v>107.97</v>
      </c>
      <c r="F136" s="5" t="s">
        <v>534</v>
      </c>
      <c r="G136" s="3" t="s">
        <v>535</v>
      </c>
      <c r="H136" s="11"/>
      <c r="I136" s="3" t="s">
        <v>531</v>
      </c>
      <c r="J136" s="3" t="s">
        <v>237</v>
      </c>
      <c r="K136" s="12" t="str">
        <f>HYPERLINK("http://slimages.macys.com/is/image/MCY/11685426 ")</f>
        <v xml:space="preserve">http://slimages.macys.com/is/image/MCY/11685426 </v>
      </c>
    </row>
    <row r="137" spans="1:11" ht="72.75" x14ac:dyDescent="0.25">
      <c r="A137" s="9" t="s">
        <v>536</v>
      </c>
      <c r="B137" s="3" t="s">
        <v>537</v>
      </c>
      <c r="C137" s="5">
        <v>1</v>
      </c>
      <c r="D137" s="10">
        <v>24.99</v>
      </c>
      <c r="E137" s="6">
        <v>24.99</v>
      </c>
      <c r="F137" s="5" t="s">
        <v>538</v>
      </c>
      <c r="G137" s="3" t="s">
        <v>116</v>
      </c>
      <c r="H137" s="11"/>
      <c r="I137" s="3" t="s">
        <v>43</v>
      </c>
      <c r="J137" s="3"/>
      <c r="K137" s="12" t="str">
        <f>HYPERLINK("http://slimages.macys.com/is/image/MCY/9021210 ")</f>
        <v xml:space="preserve">http://slimages.macys.com/is/image/MCY/9021210 </v>
      </c>
    </row>
    <row r="138" spans="1:11" ht="72.75" x14ac:dyDescent="0.25">
      <c r="A138" s="9" t="s">
        <v>539</v>
      </c>
      <c r="B138" s="3" t="s">
        <v>540</v>
      </c>
      <c r="C138" s="5">
        <v>1</v>
      </c>
      <c r="D138" s="10">
        <v>9.93</v>
      </c>
      <c r="E138" s="6">
        <v>9.93</v>
      </c>
      <c r="F138" s="5">
        <v>52841</v>
      </c>
      <c r="G138" s="3" t="s">
        <v>230</v>
      </c>
      <c r="H138" s="11"/>
      <c r="I138" s="3" t="s">
        <v>541</v>
      </c>
      <c r="J138" s="3" t="s">
        <v>198</v>
      </c>
      <c r="K138" s="12" t="str">
        <f>HYPERLINK("http://slimages.macys.com/is/image/MCY/15612147 ")</f>
        <v xml:space="preserve">http://slimages.macys.com/is/image/MCY/15612147 </v>
      </c>
    </row>
    <row r="139" spans="1:11" ht="72.75" x14ac:dyDescent="0.25">
      <c r="A139" s="9" t="s">
        <v>542</v>
      </c>
      <c r="B139" s="3" t="s">
        <v>543</v>
      </c>
      <c r="C139" s="5">
        <v>1</v>
      </c>
      <c r="D139" s="10">
        <v>24.99</v>
      </c>
      <c r="E139" s="6">
        <v>24.99</v>
      </c>
      <c r="F139" s="5" t="s">
        <v>544</v>
      </c>
      <c r="G139" s="3"/>
      <c r="H139" s="11"/>
      <c r="I139" s="3" t="s">
        <v>465</v>
      </c>
      <c r="J139" s="3"/>
      <c r="K139" s="12" t="str">
        <f>HYPERLINK("http://slimages.macys.com/is/image/MCY/13384474 ")</f>
        <v xml:space="preserve">http://slimages.macys.com/is/image/MCY/13384474 </v>
      </c>
    </row>
    <row r="140" spans="1:11" ht="72.75" x14ac:dyDescent="0.25">
      <c r="A140" s="9" t="s">
        <v>545</v>
      </c>
      <c r="B140" s="3" t="s">
        <v>546</v>
      </c>
      <c r="C140" s="5">
        <v>1</v>
      </c>
      <c r="D140" s="10">
        <v>38.99</v>
      </c>
      <c r="E140" s="6">
        <v>38.99</v>
      </c>
      <c r="F140" s="5" t="s">
        <v>547</v>
      </c>
      <c r="G140" s="3" t="s">
        <v>548</v>
      </c>
      <c r="H140" s="11"/>
      <c r="I140" s="3" t="s">
        <v>65</v>
      </c>
      <c r="J140" s="3" t="s">
        <v>549</v>
      </c>
      <c r="K140" s="12" t="str">
        <f>HYPERLINK("http://slimages.macys.com/is/image/MCY/10005660 ")</f>
        <v xml:space="preserve">http://slimages.macys.com/is/image/MCY/10005660 </v>
      </c>
    </row>
    <row r="141" spans="1:11" ht="72.75" x14ac:dyDescent="0.25">
      <c r="A141" s="9" t="s">
        <v>550</v>
      </c>
      <c r="B141" s="3" t="s">
        <v>551</v>
      </c>
      <c r="C141" s="5">
        <v>1</v>
      </c>
      <c r="D141" s="10">
        <v>49.99</v>
      </c>
      <c r="E141" s="6">
        <v>49.99</v>
      </c>
      <c r="F141" s="5" t="s">
        <v>552</v>
      </c>
      <c r="G141" s="3" t="s">
        <v>299</v>
      </c>
      <c r="H141" s="11"/>
      <c r="I141" s="3" t="s">
        <v>553</v>
      </c>
      <c r="J141" s="3"/>
      <c r="K141" s="12" t="str">
        <f>HYPERLINK("http://slimages.macys.com/is/image/MCY/15105824 ")</f>
        <v xml:space="preserve">http://slimages.macys.com/is/image/MCY/15105824 </v>
      </c>
    </row>
    <row r="142" spans="1:11" ht="72.75" x14ac:dyDescent="0.25">
      <c r="A142" s="9" t="s">
        <v>554</v>
      </c>
      <c r="B142" s="3" t="s">
        <v>555</v>
      </c>
      <c r="C142" s="5">
        <v>2</v>
      </c>
      <c r="D142" s="10">
        <v>29.99</v>
      </c>
      <c r="E142" s="6">
        <v>59.98</v>
      </c>
      <c r="F142" s="5" t="s">
        <v>556</v>
      </c>
      <c r="G142" s="3" t="s">
        <v>557</v>
      </c>
      <c r="H142" s="11"/>
      <c r="I142" s="3" t="s">
        <v>43</v>
      </c>
      <c r="J142" s="3" t="s">
        <v>558</v>
      </c>
      <c r="K142" s="12" t="str">
        <f>HYPERLINK("http://slimages.macys.com/is/image/MCY/10044237 ")</f>
        <v xml:space="preserve">http://slimages.macys.com/is/image/MCY/10044237 </v>
      </c>
    </row>
    <row r="143" spans="1:11" ht="72.75" x14ac:dyDescent="0.25">
      <c r="A143" s="9" t="s">
        <v>559</v>
      </c>
      <c r="B143" s="3" t="s">
        <v>560</v>
      </c>
      <c r="C143" s="5">
        <v>1</v>
      </c>
      <c r="D143" s="10">
        <v>14.99</v>
      </c>
      <c r="E143" s="6">
        <v>14.99</v>
      </c>
      <c r="F143" s="5" t="s">
        <v>561</v>
      </c>
      <c r="G143" s="3"/>
      <c r="H143" s="11" t="s">
        <v>562</v>
      </c>
      <c r="I143" s="3" t="s">
        <v>563</v>
      </c>
      <c r="J143" s="3" t="s">
        <v>564</v>
      </c>
      <c r="K143" s="12" t="str">
        <f>HYPERLINK("http://slimages.macys.com/is/image/MCY/15633945 ")</f>
        <v xml:space="preserve">http://slimages.macys.com/is/image/MCY/15633945 </v>
      </c>
    </row>
    <row r="144" spans="1:11" ht="72.75" x14ac:dyDescent="0.25">
      <c r="A144" s="9" t="s">
        <v>565</v>
      </c>
      <c r="B144" s="3" t="s">
        <v>566</v>
      </c>
      <c r="C144" s="5">
        <v>1</v>
      </c>
      <c r="D144" s="10">
        <v>14.99</v>
      </c>
      <c r="E144" s="6">
        <v>14.99</v>
      </c>
      <c r="F144" s="5" t="s">
        <v>567</v>
      </c>
      <c r="G144" s="3" t="s">
        <v>191</v>
      </c>
      <c r="H144" s="11" t="s">
        <v>562</v>
      </c>
      <c r="I144" s="3" t="s">
        <v>563</v>
      </c>
      <c r="J144" s="3" t="s">
        <v>564</v>
      </c>
      <c r="K144" s="12" t="str">
        <f>HYPERLINK("http://slimages.macys.com/is/image/MCY/15633945 ")</f>
        <v xml:space="preserve">http://slimages.macys.com/is/image/MCY/15633945 </v>
      </c>
    </row>
    <row r="145" spans="1:11" ht="72.75" x14ac:dyDescent="0.25">
      <c r="A145" s="9" t="s">
        <v>568</v>
      </c>
      <c r="B145" s="3" t="s">
        <v>569</v>
      </c>
      <c r="C145" s="5">
        <v>2</v>
      </c>
      <c r="D145" s="10">
        <v>29.99</v>
      </c>
      <c r="E145" s="6">
        <v>59.98</v>
      </c>
      <c r="F145" s="5">
        <v>73529</v>
      </c>
      <c r="G145" s="3"/>
      <c r="H145" s="11"/>
      <c r="I145" s="3" t="s">
        <v>335</v>
      </c>
      <c r="J145" s="3" t="s">
        <v>570</v>
      </c>
      <c r="K145" s="12" t="str">
        <f>HYPERLINK("http://slimages.macys.com/is/image/MCY/3085430 ")</f>
        <v xml:space="preserve">http://slimages.macys.com/is/image/MCY/3085430 </v>
      </c>
    </row>
    <row r="146" spans="1:11" ht="72.75" x14ac:dyDescent="0.25">
      <c r="A146" s="9" t="s">
        <v>568</v>
      </c>
      <c r="B146" s="3" t="s">
        <v>571</v>
      </c>
      <c r="C146" s="5">
        <v>1</v>
      </c>
      <c r="D146" s="10">
        <v>29.99</v>
      </c>
      <c r="E146" s="6">
        <v>29.99</v>
      </c>
      <c r="F146" s="5">
        <v>73529</v>
      </c>
      <c r="G146" s="3"/>
      <c r="H146" s="11"/>
      <c r="I146" s="3" t="s">
        <v>335</v>
      </c>
      <c r="J146" s="3" t="s">
        <v>570</v>
      </c>
      <c r="K146" s="12" t="str">
        <f>HYPERLINK("http://slimages.macys.com/is/image/MCY/3085430 ")</f>
        <v xml:space="preserve">http://slimages.macys.com/is/image/MCY/3085430 </v>
      </c>
    </row>
    <row r="147" spans="1:11" ht="72.75" x14ac:dyDescent="0.25">
      <c r="A147" s="9" t="s">
        <v>572</v>
      </c>
      <c r="B147" s="3" t="s">
        <v>573</v>
      </c>
      <c r="C147" s="5">
        <v>1</v>
      </c>
      <c r="D147" s="10">
        <v>34.99</v>
      </c>
      <c r="E147" s="6">
        <v>34.99</v>
      </c>
      <c r="F147" s="5" t="s">
        <v>574</v>
      </c>
      <c r="G147" s="3" t="s">
        <v>222</v>
      </c>
      <c r="H147" s="11"/>
      <c r="I147" s="3" t="s">
        <v>575</v>
      </c>
      <c r="J147" s="3" t="s">
        <v>576</v>
      </c>
      <c r="K147" s="12" t="str">
        <f>HYPERLINK("http://slimages.macys.com/is/image/MCY/8589764 ")</f>
        <v xml:space="preserve">http://slimages.macys.com/is/image/MCY/8589764 </v>
      </c>
    </row>
    <row r="148" spans="1:11" ht="144.75" x14ac:dyDescent="0.25">
      <c r="A148" s="9" t="s">
        <v>577</v>
      </c>
      <c r="B148" s="3" t="s">
        <v>578</v>
      </c>
      <c r="C148" s="5">
        <v>1</v>
      </c>
      <c r="D148" s="10">
        <v>27.99</v>
      </c>
      <c r="E148" s="6">
        <v>27.99</v>
      </c>
      <c r="F148" s="5" t="s">
        <v>579</v>
      </c>
      <c r="G148" s="3" t="s">
        <v>506</v>
      </c>
      <c r="H148" s="11"/>
      <c r="I148" s="3" t="s">
        <v>43</v>
      </c>
      <c r="J148" s="3" t="s">
        <v>580</v>
      </c>
      <c r="K148" s="12" t="str">
        <f>HYPERLINK("http://slimages.macys.com/is/image/MCY/10112117 ")</f>
        <v xml:space="preserve">http://slimages.macys.com/is/image/MCY/10112117 </v>
      </c>
    </row>
    <row r="149" spans="1:11" ht="252.75" x14ac:dyDescent="0.25">
      <c r="A149" s="9" t="s">
        <v>581</v>
      </c>
      <c r="B149" s="3" t="s">
        <v>582</v>
      </c>
      <c r="C149" s="5">
        <v>1</v>
      </c>
      <c r="D149" s="10">
        <v>19.989999999999998</v>
      </c>
      <c r="E149" s="6">
        <v>19.989999999999998</v>
      </c>
      <c r="F149" s="5" t="s">
        <v>583</v>
      </c>
      <c r="G149" s="3" t="s">
        <v>52</v>
      </c>
      <c r="H149" s="11" t="s">
        <v>584</v>
      </c>
      <c r="I149" s="3" t="s">
        <v>43</v>
      </c>
      <c r="J149" s="3" t="s">
        <v>585</v>
      </c>
      <c r="K149" s="12" t="str">
        <f>HYPERLINK("http://slimages.macys.com/is/image/MCY/9613896 ")</f>
        <v xml:space="preserve">http://slimages.macys.com/is/image/MCY/9613896 </v>
      </c>
    </row>
    <row r="150" spans="1:11" ht="144.75" x14ac:dyDescent="0.25">
      <c r="A150" s="9" t="s">
        <v>586</v>
      </c>
      <c r="B150" s="3" t="s">
        <v>587</v>
      </c>
      <c r="C150" s="5">
        <v>2</v>
      </c>
      <c r="D150" s="10">
        <v>27.99</v>
      </c>
      <c r="E150" s="6">
        <v>55.98</v>
      </c>
      <c r="F150" s="5" t="s">
        <v>588</v>
      </c>
      <c r="G150" s="3" t="s">
        <v>197</v>
      </c>
      <c r="H150" s="11"/>
      <c r="I150" s="3" t="s">
        <v>43</v>
      </c>
      <c r="J150" s="3" t="s">
        <v>580</v>
      </c>
      <c r="K150" s="12" t="str">
        <f>HYPERLINK("http://slimages.macys.com/is/image/MCY/10112117 ")</f>
        <v xml:space="preserve">http://slimages.macys.com/is/image/MCY/10112117 </v>
      </c>
    </row>
    <row r="151" spans="1:11" ht="144.75" x14ac:dyDescent="0.25">
      <c r="A151" s="9" t="s">
        <v>589</v>
      </c>
      <c r="B151" s="3" t="s">
        <v>590</v>
      </c>
      <c r="C151" s="5">
        <v>2</v>
      </c>
      <c r="D151" s="10">
        <v>27.99</v>
      </c>
      <c r="E151" s="6">
        <v>55.98</v>
      </c>
      <c r="F151" s="5" t="s">
        <v>591</v>
      </c>
      <c r="G151" s="3" t="s">
        <v>32</v>
      </c>
      <c r="H151" s="11"/>
      <c r="I151" s="3" t="s">
        <v>43</v>
      </c>
      <c r="J151" s="3" t="s">
        <v>580</v>
      </c>
      <c r="K151" s="12" t="str">
        <f>HYPERLINK("http://slimages.macys.com/is/image/MCY/10112117 ")</f>
        <v xml:space="preserve">http://slimages.macys.com/is/image/MCY/10112117 </v>
      </c>
    </row>
    <row r="152" spans="1:11" ht="72.75" x14ac:dyDescent="0.25">
      <c r="A152" s="9" t="s">
        <v>592</v>
      </c>
      <c r="B152" s="3" t="s">
        <v>593</v>
      </c>
      <c r="C152" s="5">
        <v>4</v>
      </c>
      <c r="D152" s="10">
        <v>24.99</v>
      </c>
      <c r="E152" s="6">
        <v>99.96</v>
      </c>
      <c r="F152" s="5" t="s">
        <v>594</v>
      </c>
      <c r="G152" s="3"/>
      <c r="H152" s="11"/>
      <c r="I152" s="3" t="s">
        <v>43</v>
      </c>
      <c r="J152" s="3"/>
      <c r="K152" s="12" t="str">
        <f>HYPERLINK("http://slimages.macys.com/is/image/MCY/10009881 ")</f>
        <v xml:space="preserve">http://slimages.macys.com/is/image/MCY/10009881 </v>
      </c>
    </row>
    <row r="153" spans="1:11" ht="72.75" x14ac:dyDescent="0.25">
      <c r="A153" s="9" t="s">
        <v>595</v>
      </c>
      <c r="B153" s="3" t="s">
        <v>596</v>
      </c>
      <c r="C153" s="5">
        <v>4</v>
      </c>
      <c r="D153" s="10">
        <v>30.99</v>
      </c>
      <c r="E153" s="6">
        <v>123.96</v>
      </c>
      <c r="F153" s="5" t="s">
        <v>597</v>
      </c>
      <c r="G153" s="3" t="s">
        <v>32</v>
      </c>
      <c r="H153" s="11"/>
      <c r="I153" s="3" t="s">
        <v>531</v>
      </c>
      <c r="J153" s="3" t="s">
        <v>598</v>
      </c>
      <c r="K153" s="12" t="str">
        <f>HYPERLINK("http://slimages.macys.com/is/image/MCY/11685594 ")</f>
        <v xml:space="preserve">http://slimages.macys.com/is/image/MCY/11685594 </v>
      </c>
    </row>
    <row r="154" spans="1:11" ht="72.75" x14ac:dyDescent="0.25">
      <c r="A154" s="9" t="s">
        <v>599</v>
      </c>
      <c r="B154" s="3" t="s">
        <v>600</v>
      </c>
      <c r="C154" s="5">
        <v>1</v>
      </c>
      <c r="D154" s="10">
        <v>29.99</v>
      </c>
      <c r="E154" s="6">
        <v>29.99</v>
      </c>
      <c r="F154" s="5" t="s">
        <v>601</v>
      </c>
      <c r="G154" s="3" t="s">
        <v>38</v>
      </c>
      <c r="H154" s="11" t="s">
        <v>381</v>
      </c>
      <c r="I154" s="3" t="s">
        <v>519</v>
      </c>
      <c r="J154" s="3" t="s">
        <v>198</v>
      </c>
      <c r="K154" s="12" t="str">
        <f>HYPERLINK("http://slimages.macys.com/is/image/MCY/9456572 ")</f>
        <v xml:space="preserve">http://slimages.macys.com/is/image/MCY/9456572 </v>
      </c>
    </row>
    <row r="155" spans="1:11" ht="72.75" x14ac:dyDescent="0.25">
      <c r="A155" s="9" t="s">
        <v>602</v>
      </c>
      <c r="B155" s="3" t="s">
        <v>603</v>
      </c>
      <c r="C155" s="5">
        <v>1</v>
      </c>
      <c r="D155" s="10">
        <v>30.99</v>
      </c>
      <c r="E155" s="6">
        <v>30.99</v>
      </c>
      <c r="F155" s="5" t="s">
        <v>604</v>
      </c>
      <c r="G155" s="3" t="s">
        <v>174</v>
      </c>
      <c r="H155" s="11" t="s">
        <v>381</v>
      </c>
      <c r="I155" s="3" t="s">
        <v>605</v>
      </c>
      <c r="J155" s="3" t="s">
        <v>237</v>
      </c>
      <c r="K155" s="12" t="str">
        <f>HYPERLINK("http://slimages.macys.com/is/image/MCY/13431416 ")</f>
        <v xml:space="preserve">http://slimages.macys.com/is/image/MCY/13431416 </v>
      </c>
    </row>
    <row r="156" spans="1:11" ht="72.75" x14ac:dyDescent="0.25">
      <c r="A156" s="9" t="s">
        <v>606</v>
      </c>
      <c r="B156" s="3" t="s">
        <v>607</v>
      </c>
      <c r="C156" s="5">
        <v>2</v>
      </c>
      <c r="D156" s="10">
        <v>21.99</v>
      </c>
      <c r="E156" s="6">
        <v>43.98</v>
      </c>
      <c r="F156" s="5">
        <v>47757</v>
      </c>
      <c r="G156" s="3" t="s">
        <v>191</v>
      </c>
      <c r="H156" s="11"/>
      <c r="I156" s="3" t="s">
        <v>541</v>
      </c>
      <c r="J156" s="3" t="s">
        <v>54</v>
      </c>
      <c r="K156" s="12" t="str">
        <f>HYPERLINK("http://slimages.macys.com/is/image/MCY/10006710 ")</f>
        <v xml:space="preserve">http://slimages.macys.com/is/image/MCY/10006710 </v>
      </c>
    </row>
    <row r="157" spans="1:11" ht="72.75" x14ac:dyDescent="0.25">
      <c r="A157" s="9" t="s">
        <v>608</v>
      </c>
      <c r="B157" s="3" t="s">
        <v>609</v>
      </c>
      <c r="C157" s="5">
        <v>1</v>
      </c>
      <c r="D157" s="10">
        <v>24.99</v>
      </c>
      <c r="E157" s="6">
        <v>24.99</v>
      </c>
      <c r="F157" s="5" t="s">
        <v>610</v>
      </c>
      <c r="G157" s="3" t="s">
        <v>535</v>
      </c>
      <c r="H157" s="11"/>
      <c r="I157" s="3" t="s">
        <v>611</v>
      </c>
      <c r="J157" s="3" t="s">
        <v>54</v>
      </c>
      <c r="K157" s="12" t="str">
        <f>HYPERLINK("http://slimages.macys.com/is/image/MCY/9367759 ")</f>
        <v xml:space="preserve">http://slimages.macys.com/is/image/MCY/9367759 </v>
      </c>
    </row>
    <row r="158" spans="1:11" ht="72.75" x14ac:dyDescent="0.25">
      <c r="A158" s="9" t="s">
        <v>612</v>
      </c>
      <c r="B158" s="3" t="s">
        <v>613</v>
      </c>
      <c r="C158" s="5">
        <v>2</v>
      </c>
      <c r="D158" s="10">
        <v>23.99</v>
      </c>
      <c r="E158" s="6">
        <v>47.98</v>
      </c>
      <c r="F158" s="5" t="s">
        <v>614</v>
      </c>
      <c r="G158" s="3" t="s">
        <v>174</v>
      </c>
      <c r="H158" s="11"/>
      <c r="I158" s="3" t="s">
        <v>497</v>
      </c>
      <c r="J158" s="3" t="s">
        <v>615</v>
      </c>
      <c r="K158" s="12" t="str">
        <f>HYPERLINK("http://slimages.macys.com/is/image/MCY/3675392 ")</f>
        <v xml:space="preserve">http://slimages.macys.com/is/image/MCY/3675392 </v>
      </c>
    </row>
    <row r="159" spans="1:11" ht="72.75" x14ac:dyDescent="0.25">
      <c r="A159" s="9" t="s">
        <v>616</v>
      </c>
      <c r="B159" s="3" t="s">
        <v>617</v>
      </c>
      <c r="C159" s="5">
        <v>1</v>
      </c>
      <c r="D159" s="10">
        <v>23.99</v>
      </c>
      <c r="E159" s="6">
        <v>23.99</v>
      </c>
      <c r="F159" s="5" t="s">
        <v>618</v>
      </c>
      <c r="G159" s="3" t="s">
        <v>619</v>
      </c>
      <c r="H159" s="11"/>
      <c r="I159" s="3" t="s">
        <v>497</v>
      </c>
      <c r="J159" s="3"/>
      <c r="K159" s="12" t="str">
        <f>HYPERLINK("http://slimages.macys.com/is/image/MCY/9211725 ")</f>
        <v xml:space="preserve">http://slimages.macys.com/is/image/MCY/9211725 </v>
      </c>
    </row>
    <row r="160" spans="1:11" ht="72.75" x14ac:dyDescent="0.25">
      <c r="A160" s="9" t="s">
        <v>620</v>
      </c>
      <c r="B160" s="3" t="s">
        <v>621</v>
      </c>
      <c r="C160" s="5">
        <v>2</v>
      </c>
      <c r="D160" s="10">
        <v>24.99</v>
      </c>
      <c r="E160" s="6">
        <v>49.98</v>
      </c>
      <c r="F160" s="5" t="s">
        <v>622</v>
      </c>
      <c r="G160" s="3" t="s">
        <v>32</v>
      </c>
      <c r="H160" s="11"/>
      <c r="I160" s="3" t="s">
        <v>43</v>
      </c>
      <c r="J160" s="3" t="s">
        <v>198</v>
      </c>
      <c r="K160" s="12" t="str">
        <f>HYPERLINK("http://slimages.macys.com/is/image/MCY/9964171 ")</f>
        <v xml:space="preserve">http://slimages.macys.com/is/image/MCY/9964171 </v>
      </c>
    </row>
    <row r="161" spans="1:11" ht="72.75" x14ac:dyDescent="0.25">
      <c r="A161" s="9" t="s">
        <v>623</v>
      </c>
      <c r="B161" s="3" t="s">
        <v>624</v>
      </c>
      <c r="C161" s="5">
        <v>2</v>
      </c>
      <c r="D161" s="10">
        <v>29.99</v>
      </c>
      <c r="E161" s="6">
        <v>59.98</v>
      </c>
      <c r="F161" s="5" t="s">
        <v>625</v>
      </c>
      <c r="G161" s="3" t="s">
        <v>191</v>
      </c>
      <c r="H161" s="11"/>
      <c r="I161" s="3" t="s">
        <v>531</v>
      </c>
      <c r="J161" s="3" t="s">
        <v>54</v>
      </c>
      <c r="K161" s="12" t="str">
        <f>HYPERLINK("http://slimages.macys.com/is/image/MCY/11685541 ")</f>
        <v xml:space="preserve">http://slimages.macys.com/is/image/MCY/11685541 </v>
      </c>
    </row>
    <row r="162" spans="1:11" ht="72.75" x14ac:dyDescent="0.25">
      <c r="A162" s="9" t="s">
        <v>626</v>
      </c>
      <c r="B162" s="3" t="s">
        <v>627</v>
      </c>
      <c r="C162" s="5">
        <v>1</v>
      </c>
      <c r="D162" s="10">
        <v>24.99</v>
      </c>
      <c r="E162" s="6">
        <v>24.99</v>
      </c>
      <c r="F162" s="5" t="s">
        <v>628</v>
      </c>
      <c r="G162" s="3" t="s">
        <v>116</v>
      </c>
      <c r="H162" s="11" t="s">
        <v>629</v>
      </c>
      <c r="I162" s="3" t="s">
        <v>611</v>
      </c>
      <c r="J162" s="3" t="s">
        <v>630</v>
      </c>
      <c r="K162" s="12" t="str">
        <f t="shared" ref="K162:K167" si="0">HYPERLINK("http://slimages.macys.com/is/image/MCY/10523452 ")</f>
        <v xml:space="preserve">http://slimages.macys.com/is/image/MCY/10523452 </v>
      </c>
    </row>
    <row r="163" spans="1:11" ht="72.75" x14ac:dyDescent="0.25">
      <c r="A163" s="9" t="s">
        <v>631</v>
      </c>
      <c r="B163" s="3" t="s">
        <v>632</v>
      </c>
      <c r="C163" s="5">
        <v>2</v>
      </c>
      <c r="D163" s="10">
        <v>24.99</v>
      </c>
      <c r="E163" s="6">
        <v>49.98</v>
      </c>
      <c r="F163" s="5" t="s">
        <v>633</v>
      </c>
      <c r="G163" s="3" t="s">
        <v>265</v>
      </c>
      <c r="H163" s="11" t="s">
        <v>629</v>
      </c>
      <c r="I163" s="3" t="s">
        <v>611</v>
      </c>
      <c r="J163" s="3" t="s">
        <v>630</v>
      </c>
      <c r="K163" s="12" t="str">
        <f t="shared" si="0"/>
        <v xml:space="preserve">http://slimages.macys.com/is/image/MCY/10523452 </v>
      </c>
    </row>
    <row r="164" spans="1:11" ht="72.75" x14ac:dyDescent="0.25">
      <c r="A164" s="9" t="s">
        <v>634</v>
      </c>
      <c r="B164" s="3" t="s">
        <v>635</v>
      </c>
      <c r="C164" s="5">
        <v>1</v>
      </c>
      <c r="D164" s="10">
        <v>24.99</v>
      </c>
      <c r="E164" s="6">
        <v>24.99</v>
      </c>
      <c r="F164" s="5" t="s">
        <v>636</v>
      </c>
      <c r="G164" s="3" t="s">
        <v>222</v>
      </c>
      <c r="H164" s="11" t="s">
        <v>629</v>
      </c>
      <c r="I164" s="3" t="s">
        <v>611</v>
      </c>
      <c r="J164" s="3" t="s">
        <v>630</v>
      </c>
      <c r="K164" s="12" t="str">
        <f t="shared" si="0"/>
        <v xml:space="preserve">http://slimages.macys.com/is/image/MCY/10523452 </v>
      </c>
    </row>
    <row r="165" spans="1:11" ht="72.75" x14ac:dyDescent="0.25">
      <c r="A165" s="9" t="s">
        <v>637</v>
      </c>
      <c r="B165" s="3" t="s">
        <v>638</v>
      </c>
      <c r="C165" s="5">
        <v>4</v>
      </c>
      <c r="D165" s="10">
        <v>24.99</v>
      </c>
      <c r="E165" s="6">
        <v>99.96</v>
      </c>
      <c r="F165" s="5" t="s">
        <v>639</v>
      </c>
      <c r="G165" s="3" t="s">
        <v>506</v>
      </c>
      <c r="H165" s="11" t="s">
        <v>629</v>
      </c>
      <c r="I165" s="3" t="s">
        <v>611</v>
      </c>
      <c r="J165" s="3" t="s">
        <v>630</v>
      </c>
      <c r="K165" s="12" t="str">
        <f t="shared" si="0"/>
        <v xml:space="preserve">http://slimages.macys.com/is/image/MCY/10523452 </v>
      </c>
    </row>
    <row r="166" spans="1:11" ht="72.75" x14ac:dyDescent="0.25">
      <c r="A166" s="9" t="s">
        <v>640</v>
      </c>
      <c r="B166" s="3" t="s">
        <v>641</v>
      </c>
      <c r="C166" s="5">
        <v>3</v>
      </c>
      <c r="D166" s="10">
        <v>24.99</v>
      </c>
      <c r="E166" s="6">
        <v>74.97</v>
      </c>
      <c r="F166" s="5" t="s">
        <v>642</v>
      </c>
      <c r="G166" s="3" t="s">
        <v>38</v>
      </c>
      <c r="H166" s="11" t="s">
        <v>629</v>
      </c>
      <c r="I166" s="3" t="s">
        <v>611</v>
      </c>
      <c r="J166" s="3" t="s">
        <v>630</v>
      </c>
      <c r="K166" s="12" t="str">
        <f t="shared" si="0"/>
        <v xml:space="preserve">http://slimages.macys.com/is/image/MCY/10523452 </v>
      </c>
    </row>
    <row r="167" spans="1:11" ht="72.75" x14ac:dyDescent="0.25">
      <c r="A167" s="9" t="s">
        <v>643</v>
      </c>
      <c r="B167" s="3" t="s">
        <v>644</v>
      </c>
      <c r="C167" s="5">
        <v>1</v>
      </c>
      <c r="D167" s="10">
        <v>24.99</v>
      </c>
      <c r="E167" s="6">
        <v>24.99</v>
      </c>
      <c r="F167" s="5" t="s">
        <v>645</v>
      </c>
      <c r="G167" s="3" t="s">
        <v>222</v>
      </c>
      <c r="H167" s="11" t="s">
        <v>629</v>
      </c>
      <c r="I167" s="3" t="s">
        <v>611</v>
      </c>
      <c r="J167" s="3" t="s">
        <v>630</v>
      </c>
      <c r="K167" s="12" t="str">
        <f t="shared" si="0"/>
        <v xml:space="preserve">http://slimages.macys.com/is/image/MCY/10523452 </v>
      </c>
    </row>
    <row r="168" spans="1:11" ht="72.75" x14ac:dyDescent="0.25">
      <c r="A168" s="9" t="s">
        <v>646</v>
      </c>
      <c r="B168" s="3" t="s">
        <v>647</v>
      </c>
      <c r="C168" s="5">
        <v>2</v>
      </c>
      <c r="D168" s="10">
        <v>24.99</v>
      </c>
      <c r="E168" s="6">
        <v>49.98</v>
      </c>
      <c r="F168" s="5" t="s">
        <v>648</v>
      </c>
      <c r="G168" s="3" t="s">
        <v>32</v>
      </c>
      <c r="H168" s="11"/>
      <c r="I168" s="3" t="s">
        <v>43</v>
      </c>
      <c r="J168" s="3" t="s">
        <v>198</v>
      </c>
      <c r="K168" s="12" t="str">
        <f>HYPERLINK("http://slimages.macys.com/is/image/MCY/9964171 ")</f>
        <v xml:space="preserve">http://slimages.macys.com/is/image/MCY/9964171 </v>
      </c>
    </row>
    <row r="169" spans="1:11" ht="72.75" x14ac:dyDescent="0.25">
      <c r="A169" s="9" t="s">
        <v>649</v>
      </c>
      <c r="B169" s="3" t="s">
        <v>650</v>
      </c>
      <c r="C169" s="5">
        <v>1</v>
      </c>
      <c r="D169" s="10">
        <v>22.99</v>
      </c>
      <c r="E169" s="6">
        <v>22.99</v>
      </c>
      <c r="F169" s="5" t="s">
        <v>651</v>
      </c>
      <c r="G169" s="3" t="s">
        <v>174</v>
      </c>
      <c r="H169" s="11" t="s">
        <v>584</v>
      </c>
      <c r="I169" s="3" t="s">
        <v>43</v>
      </c>
      <c r="J169" s="3" t="s">
        <v>54</v>
      </c>
      <c r="K169" s="12" t="str">
        <f>HYPERLINK("http://slimages.macys.com/is/image/MCY/16421101 ")</f>
        <v xml:space="preserve">http://slimages.macys.com/is/image/MCY/16421101 </v>
      </c>
    </row>
    <row r="170" spans="1:11" ht="72.75" x14ac:dyDescent="0.25">
      <c r="A170" s="9" t="s">
        <v>652</v>
      </c>
      <c r="B170" s="3" t="s">
        <v>653</v>
      </c>
      <c r="C170" s="5">
        <v>2</v>
      </c>
      <c r="D170" s="10">
        <v>34.99</v>
      </c>
      <c r="E170" s="6">
        <v>69.98</v>
      </c>
      <c r="F170" s="5" t="s">
        <v>654</v>
      </c>
      <c r="G170" s="3" t="s">
        <v>135</v>
      </c>
      <c r="H170" s="11"/>
      <c r="I170" s="3" t="s">
        <v>519</v>
      </c>
      <c r="J170" s="3" t="s">
        <v>88</v>
      </c>
      <c r="K170" s="12" t="str">
        <f>HYPERLINK("http://slimages.macys.com/is/image/MCY/10430016 ")</f>
        <v xml:space="preserve">http://slimages.macys.com/is/image/MCY/10430016 </v>
      </c>
    </row>
    <row r="171" spans="1:11" ht="72.75" x14ac:dyDescent="0.25">
      <c r="A171" s="9" t="s">
        <v>655</v>
      </c>
      <c r="B171" s="3" t="s">
        <v>656</v>
      </c>
      <c r="C171" s="5">
        <v>1</v>
      </c>
      <c r="D171" s="10">
        <v>39.99</v>
      </c>
      <c r="E171" s="6">
        <v>39.99</v>
      </c>
      <c r="F171" s="5" t="s">
        <v>657</v>
      </c>
      <c r="G171" s="3" t="s">
        <v>128</v>
      </c>
      <c r="H171" s="11"/>
      <c r="I171" s="3" t="s">
        <v>59</v>
      </c>
      <c r="J171" s="3"/>
      <c r="K171" s="12" t="str">
        <f>HYPERLINK("http://slimages.macys.com/is/image/MCY/11783220 ")</f>
        <v xml:space="preserve">http://slimages.macys.com/is/image/MCY/11783220 </v>
      </c>
    </row>
    <row r="172" spans="1:11" ht="72.75" x14ac:dyDescent="0.25">
      <c r="A172" s="9" t="s">
        <v>658</v>
      </c>
      <c r="B172" s="3" t="s">
        <v>659</v>
      </c>
      <c r="C172" s="5">
        <v>1</v>
      </c>
      <c r="D172" s="10">
        <v>18.989999999999998</v>
      </c>
      <c r="E172" s="6">
        <v>18.989999999999998</v>
      </c>
      <c r="F172" s="5" t="s">
        <v>660</v>
      </c>
      <c r="G172" s="3" t="s">
        <v>52</v>
      </c>
      <c r="H172" s="11"/>
      <c r="I172" s="3" t="s">
        <v>661</v>
      </c>
      <c r="J172" s="3"/>
      <c r="K172" s="12" t="str">
        <f>HYPERLINK("http://slimages.macys.com/is/image/MCY/14426507 ")</f>
        <v xml:space="preserve">http://slimages.macys.com/is/image/MCY/14426507 </v>
      </c>
    </row>
    <row r="173" spans="1:11" ht="72.75" x14ac:dyDescent="0.25">
      <c r="A173" s="9" t="s">
        <v>662</v>
      </c>
      <c r="B173" s="3" t="s">
        <v>663</v>
      </c>
      <c r="C173" s="5">
        <v>1</v>
      </c>
      <c r="D173" s="10">
        <v>22.99</v>
      </c>
      <c r="E173" s="6">
        <v>22.99</v>
      </c>
      <c r="F173" s="5" t="s">
        <v>664</v>
      </c>
      <c r="G173" s="3" t="s">
        <v>548</v>
      </c>
      <c r="H173" s="11"/>
      <c r="I173" s="3" t="s">
        <v>65</v>
      </c>
      <c r="J173" s="3" t="s">
        <v>237</v>
      </c>
      <c r="K173" s="12" t="str">
        <f>HYPERLINK("http://slimages.macys.com/is/image/MCY/9975011 ")</f>
        <v xml:space="preserve">http://slimages.macys.com/is/image/MCY/9975011 </v>
      </c>
    </row>
    <row r="174" spans="1:11" ht="72.75" x14ac:dyDescent="0.25">
      <c r="A174" s="9" t="s">
        <v>665</v>
      </c>
      <c r="B174" s="3" t="s">
        <v>666</v>
      </c>
      <c r="C174" s="5">
        <v>6</v>
      </c>
      <c r="D174" s="10">
        <v>33.99</v>
      </c>
      <c r="E174" s="6">
        <v>203.94</v>
      </c>
      <c r="F174" s="5" t="s">
        <v>667</v>
      </c>
      <c r="G174" s="3" t="s">
        <v>668</v>
      </c>
      <c r="H174" s="11"/>
      <c r="I174" s="3" t="s">
        <v>519</v>
      </c>
      <c r="J174" s="3" t="s">
        <v>237</v>
      </c>
      <c r="K174" s="12" t="str">
        <f>HYPERLINK("http://slimages.macys.com/is/image/MCY/11543961 ")</f>
        <v xml:space="preserve">http://slimages.macys.com/is/image/MCY/11543961 </v>
      </c>
    </row>
    <row r="175" spans="1:11" ht="72.75" x14ac:dyDescent="0.25">
      <c r="A175" s="9" t="s">
        <v>669</v>
      </c>
      <c r="B175" s="3" t="s">
        <v>670</v>
      </c>
      <c r="C175" s="5">
        <v>1</v>
      </c>
      <c r="D175" s="10">
        <v>19.989999999999998</v>
      </c>
      <c r="E175" s="6">
        <v>19.989999999999998</v>
      </c>
      <c r="F175" s="5" t="s">
        <v>671</v>
      </c>
      <c r="G175" s="3" t="s">
        <v>535</v>
      </c>
      <c r="H175" s="11" t="s">
        <v>430</v>
      </c>
      <c r="I175" s="3" t="s">
        <v>465</v>
      </c>
      <c r="J175" s="3"/>
      <c r="K175" s="12" t="str">
        <f>HYPERLINK("http://slimages.macys.com/is/image/MCY/14654928 ")</f>
        <v xml:space="preserve">http://slimages.macys.com/is/image/MCY/14654928 </v>
      </c>
    </row>
    <row r="176" spans="1:11" ht="72.75" x14ac:dyDescent="0.25">
      <c r="A176" s="9" t="s">
        <v>669</v>
      </c>
      <c r="B176" s="3" t="s">
        <v>672</v>
      </c>
      <c r="C176" s="5">
        <v>1</v>
      </c>
      <c r="D176" s="10">
        <v>19.989999999999998</v>
      </c>
      <c r="E176" s="6">
        <v>19.989999999999998</v>
      </c>
      <c r="F176" s="5" t="s">
        <v>671</v>
      </c>
      <c r="G176" s="3" t="s">
        <v>535</v>
      </c>
      <c r="H176" s="11" t="s">
        <v>430</v>
      </c>
      <c r="I176" s="3" t="s">
        <v>465</v>
      </c>
      <c r="J176" s="3"/>
      <c r="K176" s="12" t="str">
        <f>HYPERLINK("http://slimages.macys.com/is/image/MCY/14654928 ")</f>
        <v xml:space="preserve">http://slimages.macys.com/is/image/MCY/14654928 </v>
      </c>
    </row>
    <row r="177" spans="1:11" ht="72.75" x14ac:dyDescent="0.25">
      <c r="A177" s="9" t="s">
        <v>673</v>
      </c>
      <c r="B177" s="3" t="s">
        <v>674</v>
      </c>
      <c r="C177" s="5">
        <v>1</v>
      </c>
      <c r="D177" s="10">
        <v>49.99</v>
      </c>
      <c r="E177" s="6">
        <v>49.99</v>
      </c>
      <c r="F177" s="5" t="s">
        <v>675</v>
      </c>
      <c r="G177" s="3" t="s">
        <v>668</v>
      </c>
      <c r="H177" s="11"/>
      <c r="I177" s="3" t="s">
        <v>59</v>
      </c>
      <c r="J177" s="3"/>
      <c r="K177" s="12" t="str">
        <f>HYPERLINK("http://slimages.macys.com/is/image/MCY/15105828 ")</f>
        <v xml:space="preserve">http://slimages.macys.com/is/image/MCY/15105828 </v>
      </c>
    </row>
    <row r="178" spans="1:11" ht="72.75" x14ac:dyDescent="0.25">
      <c r="A178" s="9" t="s">
        <v>676</v>
      </c>
      <c r="B178" s="3" t="s">
        <v>677</v>
      </c>
      <c r="C178" s="5">
        <v>1</v>
      </c>
      <c r="D178" s="10">
        <v>29.99</v>
      </c>
      <c r="E178" s="6">
        <v>29.99</v>
      </c>
      <c r="F178" s="5" t="s">
        <v>678</v>
      </c>
      <c r="G178" s="3"/>
      <c r="H178" s="11"/>
      <c r="I178" s="3" t="s">
        <v>335</v>
      </c>
      <c r="J178" s="3"/>
      <c r="K178" s="12" t="str">
        <f>HYPERLINK("http://slimages.macys.com/is/image/MCY/8265703 ")</f>
        <v xml:space="preserve">http://slimages.macys.com/is/image/MCY/8265703 </v>
      </c>
    </row>
    <row r="179" spans="1:11" ht="108.75" x14ac:dyDescent="0.25">
      <c r="A179" s="9" t="s">
        <v>679</v>
      </c>
      <c r="B179" s="3" t="s">
        <v>680</v>
      </c>
      <c r="C179" s="5">
        <v>1</v>
      </c>
      <c r="D179" s="10">
        <v>19.989999999999998</v>
      </c>
      <c r="E179" s="6">
        <v>19.989999999999998</v>
      </c>
      <c r="F179" s="5" t="s">
        <v>681</v>
      </c>
      <c r="G179" s="3" t="s">
        <v>174</v>
      </c>
      <c r="H179" s="11"/>
      <c r="I179" s="3" t="s">
        <v>43</v>
      </c>
      <c r="J179" s="3" t="s">
        <v>682</v>
      </c>
      <c r="K179" s="12" t="str">
        <f>HYPERLINK("http://slimages.macys.com/is/image/MCY/9602366 ")</f>
        <v xml:space="preserve">http://slimages.macys.com/is/image/MCY/9602366 </v>
      </c>
    </row>
    <row r="180" spans="1:11" ht="72.75" x14ac:dyDescent="0.25">
      <c r="A180" s="9" t="s">
        <v>683</v>
      </c>
      <c r="B180" s="3" t="s">
        <v>684</v>
      </c>
      <c r="C180" s="5">
        <v>1</v>
      </c>
      <c r="D180" s="10">
        <v>9.99</v>
      </c>
      <c r="E180" s="6">
        <v>9.99</v>
      </c>
      <c r="F180" s="5" t="s">
        <v>685</v>
      </c>
      <c r="G180" s="3" t="s">
        <v>38</v>
      </c>
      <c r="H180" s="11"/>
      <c r="I180" s="3" t="s">
        <v>242</v>
      </c>
      <c r="J180" s="3"/>
      <c r="K180" s="12" t="str">
        <f>HYPERLINK("http://slimages.macys.com/is/image/MCY/15383514 ")</f>
        <v xml:space="preserve">http://slimages.macys.com/is/image/MCY/15383514 </v>
      </c>
    </row>
    <row r="181" spans="1:11" ht="72.75" x14ac:dyDescent="0.25">
      <c r="A181" s="9" t="s">
        <v>686</v>
      </c>
      <c r="B181" s="3" t="s">
        <v>687</v>
      </c>
      <c r="C181" s="5">
        <v>1</v>
      </c>
      <c r="D181" s="10">
        <v>21.99</v>
      </c>
      <c r="E181" s="6">
        <v>21.99</v>
      </c>
      <c r="F181" s="5" t="s">
        <v>688</v>
      </c>
      <c r="G181" s="3" t="s">
        <v>38</v>
      </c>
      <c r="H181" s="11"/>
      <c r="I181" s="3" t="s">
        <v>497</v>
      </c>
      <c r="J181" s="3" t="s">
        <v>54</v>
      </c>
      <c r="K181" s="12" t="str">
        <f>HYPERLINK("http://slimages.macys.com/is/image/MCY/821775 ")</f>
        <v xml:space="preserve">http://slimages.macys.com/is/image/MCY/821775 </v>
      </c>
    </row>
    <row r="182" spans="1:11" ht="72.75" x14ac:dyDescent="0.25">
      <c r="A182" s="9" t="s">
        <v>689</v>
      </c>
      <c r="B182" s="3" t="s">
        <v>690</v>
      </c>
      <c r="C182" s="5">
        <v>4</v>
      </c>
      <c r="D182" s="10">
        <v>17.989999999999998</v>
      </c>
      <c r="E182" s="6">
        <v>71.959999999999994</v>
      </c>
      <c r="F182" s="5" t="s">
        <v>691</v>
      </c>
      <c r="G182" s="3" t="s">
        <v>191</v>
      </c>
      <c r="H182" s="11"/>
      <c r="I182" s="3" t="s">
        <v>541</v>
      </c>
      <c r="J182" s="3" t="s">
        <v>54</v>
      </c>
      <c r="K182" s="12" t="str">
        <f>HYPERLINK("http://slimages.macys.com/is/image/MCY/12936375 ")</f>
        <v xml:space="preserve">http://slimages.macys.com/is/image/MCY/12936375 </v>
      </c>
    </row>
    <row r="183" spans="1:11" ht="72.75" x14ac:dyDescent="0.25">
      <c r="A183" s="9" t="s">
        <v>692</v>
      </c>
      <c r="B183" s="3" t="s">
        <v>693</v>
      </c>
      <c r="C183" s="5">
        <v>1</v>
      </c>
      <c r="D183" s="10">
        <v>23.99</v>
      </c>
      <c r="E183" s="6">
        <v>23.99</v>
      </c>
      <c r="F183" s="5">
        <v>21004</v>
      </c>
      <c r="G183" s="3" t="s">
        <v>26</v>
      </c>
      <c r="H183" s="11"/>
      <c r="I183" s="3" t="s">
        <v>694</v>
      </c>
      <c r="J183" s="3" t="s">
        <v>695</v>
      </c>
      <c r="K183" s="12" t="str">
        <f>HYPERLINK("http://slimages.macys.com/is/image/MCY/14467229 ")</f>
        <v xml:space="preserve">http://slimages.macys.com/is/image/MCY/14467229 </v>
      </c>
    </row>
    <row r="184" spans="1:11" ht="72.75" x14ac:dyDescent="0.25">
      <c r="A184" s="9" t="s">
        <v>696</v>
      </c>
      <c r="B184" s="3" t="s">
        <v>697</v>
      </c>
      <c r="C184" s="5">
        <v>2</v>
      </c>
      <c r="D184" s="10">
        <v>17.989999999999998</v>
      </c>
      <c r="E184" s="6">
        <v>35.979999999999997</v>
      </c>
      <c r="F184" s="5">
        <v>43342</v>
      </c>
      <c r="G184" s="3" t="s">
        <v>406</v>
      </c>
      <c r="H184" s="11" t="s">
        <v>698</v>
      </c>
      <c r="I184" s="3" t="s">
        <v>541</v>
      </c>
      <c r="J184" s="3" t="s">
        <v>54</v>
      </c>
      <c r="K184" s="12" t="str">
        <f>HYPERLINK("http://slimages.macys.com/is/image/MCY/10009173 ")</f>
        <v xml:space="preserve">http://slimages.macys.com/is/image/MCY/10009173 </v>
      </c>
    </row>
    <row r="185" spans="1:11" ht="72.75" x14ac:dyDescent="0.25">
      <c r="A185" s="9" t="s">
        <v>699</v>
      </c>
      <c r="B185" s="3" t="s">
        <v>700</v>
      </c>
      <c r="C185" s="5">
        <v>3</v>
      </c>
      <c r="D185" s="10">
        <v>24.99</v>
      </c>
      <c r="E185" s="6">
        <v>74.97</v>
      </c>
      <c r="F185" s="5">
        <v>12381</v>
      </c>
      <c r="G185" s="3" t="s">
        <v>32</v>
      </c>
      <c r="H185" s="11"/>
      <c r="I185" s="3" t="s">
        <v>701</v>
      </c>
      <c r="J185" s="3" t="s">
        <v>54</v>
      </c>
      <c r="K185" s="12" t="str">
        <f>HYPERLINK("http://slimages.macys.com/is/image/MCY/13989610 ")</f>
        <v xml:space="preserve">http://slimages.macys.com/is/image/MCY/13989610 </v>
      </c>
    </row>
    <row r="186" spans="1:11" ht="72.75" x14ac:dyDescent="0.25">
      <c r="A186" s="9" t="s">
        <v>702</v>
      </c>
      <c r="B186" s="3" t="s">
        <v>703</v>
      </c>
      <c r="C186" s="5">
        <v>1</v>
      </c>
      <c r="D186" s="10">
        <v>19.989999999999998</v>
      </c>
      <c r="E186" s="6">
        <v>19.989999999999998</v>
      </c>
      <c r="F186" s="5">
        <v>2037</v>
      </c>
      <c r="G186" s="3"/>
      <c r="H186" s="11"/>
      <c r="I186" s="3" t="s">
        <v>335</v>
      </c>
      <c r="J186" s="3"/>
      <c r="K186" s="12" t="str">
        <f>HYPERLINK("http://slimages.macys.com/is/image/MCY/9288847 ")</f>
        <v xml:space="preserve">http://slimages.macys.com/is/image/MCY/9288847 </v>
      </c>
    </row>
    <row r="187" spans="1:11" ht="72.75" x14ac:dyDescent="0.25">
      <c r="A187" s="9" t="s">
        <v>704</v>
      </c>
      <c r="B187" s="3" t="s">
        <v>705</v>
      </c>
      <c r="C187" s="5">
        <v>1</v>
      </c>
      <c r="D187" s="10">
        <v>34.99</v>
      </c>
      <c r="E187" s="6">
        <v>34.99</v>
      </c>
      <c r="F187" s="5" t="s">
        <v>706</v>
      </c>
      <c r="G187" s="3" t="s">
        <v>299</v>
      </c>
      <c r="H187" s="11"/>
      <c r="I187" s="3" t="s">
        <v>553</v>
      </c>
      <c r="J187" s="3" t="s">
        <v>54</v>
      </c>
      <c r="K187" s="12" t="str">
        <f>HYPERLINK("http://slimages.macys.com/is/image/MCY/14601403 ")</f>
        <v xml:space="preserve">http://slimages.macys.com/is/image/MCY/14601403 </v>
      </c>
    </row>
    <row r="188" spans="1:11" ht="72.75" x14ac:dyDescent="0.25">
      <c r="A188" s="9" t="s">
        <v>707</v>
      </c>
      <c r="B188" s="3" t="s">
        <v>705</v>
      </c>
      <c r="C188" s="5">
        <v>2</v>
      </c>
      <c r="D188" s="10">
        <v>34.99</v>
      </c>
      <c r="E188" s="6">
        <v>69.98</v>
      </c>
      <c r="F188" s="5" t="s">
        <v>706</v>
      </c>
      <c r="G188" s="3" t="s">
        <v>116</v>
      </c>
      <c r="H188" s="11"/>
      <c r="I188" s="3" t="s">
        <v>553</v>
      </c>
      <c r="J188" s="3" t="s">
        <v>54</v>
      </c>
      <c r="K188" s="12" t="str">
        <f>HYPERLINK("http://slimages.macys.com/is/image/MCY/14601403 ")</f>
        <v xml:space="preserve">http://slimages.macys.com/is/image/MCY/14601403 </v>
      </c>
    </row>
    <row r="189" spans="1:11" ht="72.75" x14ac:dyDescent="0.25">
      <c r="A189" s="9" t="s">
        <v>708</v>
      </c>
      <c r="B189" s="3" t="s">
        <v>705</v>
      </c>
      <c r="C189" s="5">
        <v>2</v>
      </c>
      <c r="D189" s="10">
        <v>34.99</v>
      </c>
      <c r="E189" s="6">
        <v>69.98</v>
      </c>
      <c r="F189" s="5" t="s">
        <v>706</v>
      </c>
      <c r="G189" s="3" t="s">
        <v>557</v>
      </c>
      <c r="H189" s="11"/>
      <c r="I189" s="3" t="s">
        <v>553</v>
      </c>
      <c r="J189" s="3" t="s">
        <v>54</v>
      </c>
      <c r="K189" s="12" t="str">
        <f>HYPERLINK("http://slimages.macys.com/is/image/MCY/14601403 ")</f>
        <v xml:space="preserve">http://slimages.macys.com/is/image/MCY/14601403 </v>
      </c>
    </row>
    <row r="190" spans="1:11" ht="72.75" x14ac:dyDescent="0.25">
      <c r="A190" s="9" t="s">
        <v>709</v>
      </c>
      <c r="B190" s="3" t="s">
        <v>710</v>
      </c>
      <c r="C190" s="5">
        <v>1</v>
      </c>
      <c r="D190" s="10">
        <v>24.99</v>
      </c>
      <c r="E190" s="6">
        <v>24.99</v>
      </c>
      <c r="F190" s="5" t="s">
        <v>711</v>
      </c>
      <c r="G190" s="3" t="s">
        <v>712</v>
      </c>
      <c r="H190" s="11"/>
      <c r="I190" s="3" t="s">
        <v>713</v>
      </c>
      <c r="J190" s="3" t="s">
        <v>54</v>
      </c>
      <c r="K190" s="12" t="str">
        <f>HYPERLINK("http://slimages.macys.com/is/image/MCY/9356851 ")</f>
        <v xml:space="preserve">http://slimages.macys.com/is/image/MCY/9356851 </v>
      </c>
    </row>
    <row r="191" spans="1:11" ht="72.75" x14ac:dyDescent="0.25">
      <c r="A191" s="9" t="s">
        <v>714</v>
      </c>
      <c r="B191" s="3" t="s">
        <v>715</v>
      </c>
      <c r="C191" s="5">
        <v>2</v>
      </c>
      <c r="D191" s="10">
        <v>21.99</v>
      </c>
      <c r="E191" s="6">
        <v>43.98</v>
      </c>
      <c r="F191" s="5">
        <v>7352210</v>
      </c>
      <c r="G191" s="3" t="s">
        <v>557</v>
      </c>
      <c r="H191" s="11" t="s">
        <v>381</v>
      </c>
      <c r="I191" s="3" t="s">
        <v>716</v>
      </c>
      <c r="J191" s="3"/>
      <c r="K191" s="12" t="str">
        <f>HYPERLINK("http://slimages.macys.com/is/image/MCY/8779094 ")</f>
        <v xml:space="preserve">http://slimages.macys.com/is/image/MCY/8779094 </v>
      </c>
    </row>
    <row r="192" spans="1:11" ht="72.75" x14ac:dyDescent="0.25">
      <c r="A192" s="9" t="s">
        <v>717</v>
      </c>
      <c r="B192" s="3" t="s">
        <v>718</v>
      </c>
      <c r="C192" s="5">
        <v>2</v>
      </c>
      <c r="D192" s="10">
        <v>16.989999999999998</v>
      </c>
      <c r="E192" s="6">
        <v>33.979999999999997</v>
      </c>
      <c r="F192" s="5" t="s">
        <v>719</v>
      </c>
      <c r="G192" s="3" t="s">
        <v>52</v>
      </c>
      <c r="H192" s="11"/>
      <c r="I192" s="3" t="s">
        <v>661</v>
      </c>
      <c r="J192" s="3"/>
      <c r="K192" s="12" t="str">
        <f>HYPERLINK("http://slimages.macys.com/is/image/MCY/14426507 ")</f>
        <v xml:space="preserve">http://slimages.macys.com/is/image/MCY/14426507 </v>
      </c>
    </row>
    <row r="193" spans="1:11" ht="72.75" x14ac:dyDescent="0.25">
      <c r="A193" s="9" t="s">
        <v>720</v>
      </c>
      <c r="B193" s="3" t="s">
        <v>721</v>
      </c>
      <c r="C193" s="5">
        <v>1</v>
      </c>
      <c r="D193" s="10">
        <v>34.99</v>
      </c>
      <c r="E193" s="6">
        <v>34.99</v>
      </c>
      <c r="F193" s="5" t="s">
        <v>722</v>
      </c>
      <c r="G193" s="3" t="s">
        <v>265</v>
      </c>
      <c r="H193" s="11"/>
      <c r="I193" s="3" t="s">
        <v>59</v>
      </c>
      <c r="J193" s="3" t="s">
        <v>723</v>
      </c>
      <c r="K193" s="12" t="str">
        <f>HYPERLINK("http://slimages.macys.com/is/image/MCY/15105815 ")</f>
        <v xml:space="preserve">http://slimages.macys.com/is/image/MCY/15105815 </v>
      </c>
    </row>
    <row r="194" spans="1:11" ht="72.75" x14ac:dyDescent="0.25">
      <c r="A194" s="9" t="s">
        <v>724</v>
      </c>
      <c r="B194" s="3" t="s">
        <v>725</v>
      </c>
      <c r="C194" s="5">
        <v>1</v>
      </c>
      <c r="D194" s="10">
        <v>14.99</v>
      </c>
      <c r="E194" s="6">
        <v>14.99</v>
      </c>
      <c r="F194" s="5">
        <v>44053</v>
      </c>
      <c r="G194" s="3" t="s">
        <v>230</v>
      </c>
      <c r="H194" s="11" t="s">
        <v>726</v>
      </c>
      <c r="I194" s="3" t="s">
        <v>541</v>
      </c>
      <c r="J194" s="3" t="s">
        <v>54</v>
      </c>
      <c r="K194" s="12" t="str">
        <f>HYPERLINK("http://slimages.macys.com/is/image/MCY/10004504 ")</f>
        <v xml:space="preserve">http://slimages.macys.com/is/image/MCY/10004504 </v>
      </c>
    </row>
    <row r="195" spans="1:11" ht="72.75" x14ac:dyDescent="0.25">
      <c r="A195" s="9" t="s">
        <v>727</v>
      </c>
      <c r="B195" s="3" t="s">
        <v>693</v>
      </c>
      <c r="C195" s="5">
        <v>1</v>
      </c>
      <c r="D195" s="10">
        <v>19.989999999999998</v>
      </c>
      <c r="E195" s="6">
        <v>19.989999999999998</v>
      </c>
      <c r="F195" s="5">
        <v>21001</v>
      </c>
      <c r="G195" s="3" t="s">
        <v>26</v>
      </c>
      <c r="H195" s="11"/>
      <c r="I195" s="3" t="s">
        <v>694</v>
      </c>
      <c r="J195" s="3" t="s">
        <v>695</v>
      </c>
      <c r="K195" s="12" t="str">
        <f>HYPERLINK("http://slimages.macys.com/is/image/MCY/14467186 ")</f>
        <v xml:space="preserve">http://slimages.macys.com/is/image/MCY/14467186 </v>
      </c>
    </row>
    <row r="196" spans="1:11" ht="72.75" x14ac:dyDescent="0.25">
      <c r="A196" s="9" t="s">
        <v>728</v>
      </c>
      <c r="B196" s="3" t="s">
        <v>729</v>
      </c>
      <c r="C196" s="5">
        <v>2</v>
      </c>
      <c r="D196" s="10">
        <v>19.989999999999998</v>
      </c>
      <c r="E196" s="6">
        <v>39.979999999999997</v>
      </c>
      <c r="F196" s="5">
        <v>6532932</v>
      </c>
      <c r="G196" s="3" t="s">
        <v>241</v>
      </c>
      <c r="H196" s="11" t="s">
        <v>381</v>
      </c>
      <c r="I196" s="3" t="s">
        <v>730</v>
      </c>
      <c r="J196" s="3" t="s">
        <v>723</v>
      </c>
      <c r="K196" s="12" t="str">
        <f>HYPERLINK("http://slimages.macys.com/is/image/MCY/3635779 ")</f>
        <v xml:space="preserve">http://slimages.macys.com/is/image/MCY/3635779 </v>
      </c>
    </row>
    <row r="197" spans="1:11" ht="72.75" x14ac:dyDescent="0.25">
      <c r="A197" s="9" t="s">
        <v>731</v>
      </c>
      <c r="B197" s="3" t="s">
        <v>732</v>
      </c>
      <c r="C197" s="5">
        <v>1</v>
      </c>
      <c r="D197" s="10">
        <v>19.989999999999998</v>
      </c>
      <c r="E197" s="6">
        <v>19.989999999999998</v>
      </c>
      <c r="F197" s="5">
        <v>6505028</v>
      </c>
      <c r="G197" s="3" t="s">
        <v>230</v>
      </c>
      <c r="H197" s="11" t="s">
        <v>733</v>
      </c>
      <c r="I197" s="3" t="s">
        <v>730</v>
      </c>
      <c r="J197" s="3" t="s">
        <v>723</v>
      </c>
      <c r="K197" s="12" t="str">
        <f>HYPERLINK("http://slimages.macys.com/is/image/MCY/3635779 ")</f>
        <v xml:space="preserve">http://slimages.macys.com/is/image/MCY/3635779 </v>
      </c>
    </row>
    <row r="198" spans="1:11" ht="72.75" x14ac:dyDescent="0.25">
      <c r="A198" s="9" t="s">
        <v>734</v>
      </c>
      <c r="B198" s="3" t="s">
        <v>735</v>
      </c>
      <c r="C198" s="5">
        <v>1</v>
      </c>
      <c r="D198" s="10">
        <v>17.989999999999998</v>
      </c>
      <c r="E198" s="6">
        <v>17.989999999999998</v>
      </c>
      <c r="F198" s="5" t="s">
        <v>736</v>
      </c>
      <c r="G198" s="3"/>
      <c r="H198" s="11"/>
      <c r="I198" s="3" t="s">
        <v>43</v>
      </c>
      <c r="J198" s="3" t="s">
        <v>54</v>
      </c>
      <c r="K198" s="12" t="str">
        <f>HYPERLINK("http://slimages.macys.com/is/image/MCY/10073932 ")</f>
        <v xml:space="preserve">http://slimages.macys.com/is/image/MCY/10073932 </v>
      </c>
    </row>
    <row r="199" spans="1:11" ht="72.75" x14ac:dyDescent="0.25">
      <c r="A199" s="9" t="s">
        <v>737</v>
      </c>
      <c r="B199" s="3" t="s">
        <v>738</v>
      </c>
      <c r="C199" s="5">
        <v>1</v>
      </c>
      <c r="D199" s="10">
        <v>39.99</v>
      </c>
      <c r="E199" s="6">
        <v>39.99</v>
      </c>
      <c r="F199" s="5" t="s">
        <v>739</v>
      </c>
      <c r="G199" s="3" t="s">
        <v>26</v>
      </c>
      <c r="H199" s="11"/>
      <c r="I199" s="3" t="s">
        <v>161</v>
      </c>
      <c r="J199" s="3" t="s">
        <v>88</v>
      </c>
      <c r="K199" s="12" t="str">
        <f>HYPERLINK("http://slimages.macys.com/is/image/MCY/8614358 ")</f>
        <v xml:space="preserve">http://slimages.macys.com/is/image/MCY/8614358 </v>
      </c>
    </row>
    <row r="200" spans="1:11" ht="72.75" x14ac:dyDescent="0.25">
      <c r="A200" s="9" t="s">
        <v>740</v>
      </c>
      <c r="B200" s="3" t="s">
        <v>741</v>
      </c>
      <c r="C200" s="5">
        <v>1</v>
      </c>
      <c r="D200" s="10">
        <v>16.989999999999998</v>
      </c>
      <c r="E200" s="6">
        <v>16.989999999999998</v>
      </c>
      <c r="F200" s="5" t="s">
        <v>742</v>
      </c>
      <c r="G200" s="3" t="s">
        <v>32</v>
      </c>
      <c r="H200" s="11" t="s">
        <v>358</v>
      </c>
      <c r="I200" s="3" t="s">
        <v>87</v>
      </c>
      <c r="J200" s="3"/>
      <c r="K200" s="12" t="str">
        <f>HYPERLINK("http://slimages.macys.com/is/image/MCY/8624496 ")</f>
        <v xml:space="preserve">http://slimages.macys.com/is/image/MCY/8624496 </v>
      </c>
    </row>
    <row r="201" spans="1:11" ht="72.75" x14ac:dyDescent="0.25">
      <c r="A201" s="9" t="s">
        <v>743</v>
      </c>
      <c r="B201" s="3" t="s">
        <v>744</v>
      </c>
      <c r="C201" s="5">
        <v>1</v>
      </c>
      <c r="D201" s="10">
        <v>29.99</v>
      </c>
      <c r="E201" s="6">
        <v>29.99</v>
      </c>
      <c r="F201" s="5" t="s">
        <v>745</v>
      </c>
      <c r="G201" s="3" t="s">
        <v>241</v>
      </c>
      <c r="H201" s="11"/>
      <c r="I201" s="3" t="s">
        <v>59</v>
      </c>
      <c r="J201" s="3" t="s">
        <v>746</v>
      </c>
      <c r="K201" s="12" t="str">
        <f>HYPERLINK("http://slimages.macys.com/is/image/MCY/14607258 ")</f>
        <v xml:space="preserve">http://slimages.macys.com/is/image/MCY/14607258 </v>
      </c>
    </row>
    <row r="202" spans="1:11" ht="72.75" x14ac:dyDescent="0.25">
      <c r="A202" s="9" t="s">
        <v>747</v>
      </c>
      <c r="B202" s="3" t="s">
        <v>744</v>
      </c>
      <c r="C202" s="5">
        <v>1</v>
      </c>
      <c r="D202" s="10">
        <v>29.99</v>
      </c>
      <c r="E202" s="6">
        <v>29.99</v>
      </c>
      <c r="F202" s="5" t="s">
        <v>745</v>
      </c>
      <c r="G202" s="3" t="s">
        <v>459</v>
      </c>
      <c r="H202" s="11"/>
      <c r="I202" s="3" t="s">
        <v>59</v>
      </c>
      <c r="J202" s="3" t="s">
        <v>746</v>
      </c>
      <c r="K202" s="12" t="str">
        <f>HYPERLINK("http://slimages.macys.com/is/image/MCY/14607258 ")</f>
        <v xml:space="preserve">http://slimages.macys.com/is/image/MCY/14607258 </v>
      </c>
    </row>
    <row r="203" spans="1:11" ht="72.75" x14ac:dyDescent="0.25">
      <c r="A203" s="9" t="s">
        <v>748</v>
      </c>
      <c r="B203" s="3" t="s">
        <v>749</v>
      </c>
      <c r="C203" s="5">
        <v>2</v>
      </c>
      <c r="D203" s="10">
        <v>29.99</v>
      </c>
      <c r="E203" s="6">
        <v>59.98</v>
      </c>
      <c r="F203" s="5" t="s">
        <v>750</v>
      </c>
      <c r="G203" s="3" t="s">
        <v>128</v>
      </c>
      <c r="H203" s="11"/>
      <c r="I203" s="3" t="s">
        <v>59</v>
      </c>
      <c r="J203" s="3" t="s">
        <v>88</v>
      </c>
      <c r="K203" s="12" t="str">
        <f>HYPERLINK("http://slimages.macys.com/is/image/MCY/9855045 ")</f>
        <v xml:space="preserve">http://slimages.macys.com/is/image/MCY/9855045 </v>
      </c>
    </row>
    <row r="204" spans="1:11" ht="72.75" x14ac:dyDescent="0.25">
      <c r="A204" s="9" t="s">
        <v>751</v>
      </c>
      <c r="B204" s="3" t="s">
        <v>752</v>
      </c>
      <c r="C204" s="5">
        <v>1</v>
      </c>
      <c r="D204" s="10">
        <v>17.989999999999998</v>
      </c>
      <c r="E204" s="6">
        <v>17.989999999999998</v>
      </c>
      <c r="F204" s="5" t="s">
        <v>753</v>
      </c>
      <c r="G204" s="3" t="s">
        <v>241</v>
      </c>
      <c r="H204" s="11"/>
      <c r="I204" s="3" t="s">
        <v>314</v>
      </c>
      <c r="J204" s="3" t="s">
        <v>754</v>
      </c>
      <c r="K204" s="12" t="str">
        <f>HYPERLINK("http://slimages.macys.com/is/image/MCY/913783 ")</f>
        <v xml:space="preserve">http://slimages.macys.com/is/image/MCY/913783 </v>
      </c>
    </row>
    <row r="205" spans="1:11" ht="72.75" x14ac:dyDescent="0.25">
      <c r="A205" s="9" t="s">
        <v>755</v>
      </c>
      <c r="B205" s="3" t="s">
        <v>756</v>
      </c>
      <c r="C205" s="5">
        <v>1</v>
      </c>
      <c r="D205" s="10">
        <v>17.989999999999998</v>
      </c>
      <c r="E205" s="6">
        <v>17.989999999999998</v>
      </c>
      <c r="F205" s="5">
        <v>9266003</v>
      </c>
      <c r="G205" s="3" t="s">
        <v>26</v>
      </c>
      <c r="H205" s="11" t="s">
        <v>381</v>
      </c>
      <c r="I205" s="3" t="s">
        <v>716</v>
      </c>
      <c r="J205" s="3"/>
      <c r="K205" s="12" t="str">
        <f>HYPERLINK("http://slimages.macys.com/is/image/MCY/8776409 ")</f>
        <v xml:space="preserve">http://slimages.macys.com/is/image/MCY/8776409 </v>
      </c>
    </row>
    <row r="206" spans="1:11" ht="72.75" x14ac:dyDescent="0.25">
      <c r="A206" s="9" t="s">
        <v>757</v>
      </c>
      <c r="B206" s="3" t="s">
        <v>758</v>
      </c>
      <c r="C206" s="5">
        <v>1</v>
      </c>
      <c r="D206" s="10">
        <v>12.99</v>
      </c>
      <c r="E206" s="6">
        <v>12.99</v>
      </c>
      <c r="F206" s="5" t="s">
        <v>759</v>
      </c>
      <c r="G206" s="3" t="s">
        <v>26</v>
      </c>
      <c r="H206" s="11"/>
      <c r="I206" s="3" t="s">
        <v>661</v>
      </c>
      <c r="J206" s="3" t="s">
        <v>54</v>
      </c>
      <c r="K206" s="12" t="str">
        <f>HYPERLINK("http://slimages.macys.com/is/image/MCY/3153811 ")</f>
        <v xml:space="preserve">http://slimages.macys.com/is/image/MCY/3153811 </v>
      </c>
    </row>
    <row r="207" spans="1:11" ht="72.75" x14ac:dyDescent="0.25">
      <c r="A207" s="9" t="s">
        <v>760</v>
      </c>
      <c r="B207" s="3" t="s">
        <v>761</v>
      </c>
      <c r="C207" s="5">
        <v>2</v>
      </c>
      <c r="D207" s="10">
        <v>14.99</v>
      </c>
      <c r="E207" s="6">
        <v>29.98</v>
      </c>
      <c r="F207" s="5" t="s">
        <v>762</v>
      </c>
      <c r="G207" s="3" t="s">
        <v>174</v>
      </c>
      <c r="H207" s="11"/>
      <c r="I207" s="3" t="s">
        <v>242</v>
      </c>
      <c r="J207" s="3"/>
      <c r="K207" s="12" t="str">
        <f>HYPERLINK("http://slimages.macys.com/is/image/MCY/8176389 ")</f>
        <v xml:space="preserve">http://slimages.macys.com/is/image/MCY/8176389 </v>
      </c>
    </row>
    <row r="208" spans="1:11" ht="72.75" x14ac:dyDescent="0.25">
      <c r="A208" s="9" t="s">
        <v>763</v>
      </c>
      <c r="B208" s="3" t="s">
        <v>764</v>
      </c>
      <c r="C208" s="5">
        <v>1</v>
      </c>
      <c r="D208" s="10">
        <v>16.989999999999998</v>
      </c>
      <c r="E208" s="6">
        <v>16.989999999999998</v>
      </c>
      <c r="F208" s="5" t="s">
        <v>765</v>
      </c>
      <c r="G208" s="3" t="s">
        <v>197</v>
      </c>
      <c r="H208" s="11"/>
      <c r="I208" s="3" t="s">
        <v>497</v>
      </c>
      <c r="J208" s="3" t="s">
        <v>54</v>
      </c>
      <c r="K208" s="12" t="str">
        <f>HYPERLINK("http://slimages.macys.com/is/image/MCY/935272 ")</f>
        <v xml:space="preserve">http://slimages.macys.com/is/image/MCY/935272 </v>
      </c>
    </row>
    <row r="209" spans="1:11" ht="72.75" x14ac:dyDescent="0.25">
      <c r="A209" s="9" t="s">
        <v>766</v>
      </c>
      <c r="B209" s="3" t="s">
        <v>767</v>
      </c>
      <c r="C209" s="5">
        <v>1</v>
      </c>
      <c r="D209" s="10">
        <v>9.99</v>
      </c>
      <c r="E209" s="6">
        <v>9.99</v>
      </c>
      <c r="F209" s="5" t="s">
        <v>768</v>
      </c>
      <c r="G209" s="3" t="s">
        <v>299</v>
      </c>
      <c r="H209" s="11"/>
      <c r="I209" s="3" t="s">
        <v>769</v>
      </c>
      <c r="J209" s="3"/>
      <c r="K209" s="12" t="str">
        <f>HYPERLINK("http://slimages.macys.com/is/image/MCY/9350503 ")</f>
        <v xml:space="preserve">http://slimages.macys.com/is/image/MCY/9350503 </v>
      </c>
    </row>
    <row r="210" spans="1:11" ht="72.75" x14ac:dyDescent="0.25">
      <c r="A210" s="9" t="s">
        <v>770</v>
      </c>
      <c r="B210" s="3" t="s">
        <v>771</v>
      </c>
      <c r="C210" s="5">
        <v>1</v>
      </c>
      <c r="D210" s="10">
        <v>24.99</v>
      </c>
      <c r="E210" s="6">
        <v>24.99</v>
      </c>
      <c r="F210" s="5" t="s">
        <v>772</v>
      </c>
      <c r="G210" s="3" t="s">
        <v>469</v>
      </c>
      <c r="H210" s="11"/>
      <c r="I210" s="3" t="s">
        <v>769</v>
      </c>
      <c r="J210" s="3"/>
      <c r="K210" s="12" t="str">
        <f>HYPERLINK("http://slimages.macys.com/is/image/MCY/9350503 ")</f>
        <v xml:space="preserve">http://slimages.macys.com/is/image/MCY/9350503 </v>
      </c>
    </row>
    <row r="211" spans="1:11" ht="72.75" x14ac:dyDescent="0.25">
      <c r="A211" s="9" t="s">
        <v>773</v>
      </c>
      <c r="B211" s="3" t="s">
        <v>774</v>
      </c>
      <c r="C211" s="5">
        <v>1</v>
      </c>
      <c r="D211" s="10">
        <v>14.99</v>
      </c>
      <c r="E211" s="6">
        <v>14.99</v>
      </c>
      <c r="F211" s="5" t="s">
        <v>775</v>
      </c>
      <c r="G211" s="3" t="s">
        <v>92</v>
      </c>
      <c r="H211" s="11"/>
      <c r="I211" s="3" t="s">
        <v>776</v>
      </c>
      <c r="J211" s="3" t="s">
        <v>777</v>
      </c>
      <c r="K211" s="12" t="str">
        <f>HYPERLINK("http://slimages.macys.com/is/image/MCY/11461326 ")</f>
        <v xml:space="preserve">http://slimages.macys.com/is/image/MCY/11461326 </v>
      </c>
    </row>
    <row r="212" spans="1:11" ht="72.75" x14ac:dyDescent="0.25">
      <c r="A212" s="9" t="s">
        <v>778</v>
      </c>
      <c r="B212" s="3" t="s">
        <v>779</v>
      </c>
      <c r="C212" s="5">
        <v>1</v>
      </c>
      <c r="D212" s="10">
        <v>29.99</v>
      </c>
      <c r="E212" s="6">
        <v>29.99</v>
      </c>
      <c r="F212" s="5" t="s">
        <v>780</v>
      </c>
      <c r="G212" s="3" t="s">
        <v>174</v>
      </c>
      <c r="H212" s="11"/>
      <c r="I212" s="3" t="s">
        <v>781</v>
      </c>
      <c r="J212" s="3" t="s">
        <v>782</v>
      </c>
      <c r="K212" s="12" t="str">
        <f>HYPERLINK("http://slimages.macys.com/is/image/MCY/9408132 ")</f>
        <v xml:space="preserve">http://slimages.macys.com/is/image/MCY/9408132 </v>
      </c>
    </row>
    <row r="213" spans="1:11" ht="72.75" x14ac:dyDescent="0.25">
      <c r="A213" s="9" t="s">
        <v>783</v>
      </c>
      <c r="B213" s="3" t="s">
        <v>779</v>
      </c>
      <c r="C213" s="5">
        <v>1</v>
      </c>
      <c r="D213" s="10">
        <v>29.99</v>
      </c>
      <c r="E213" s="6">
        <v>29.99</v>
      </c>
      <c r="F213" s="5" t="s">
        <v>780</v>
      </c>
      <c r="G213" s="3" t="s">
        <v>26</v>
      </c>
      <c r="H213" s="11"/>
      <c r="I213" s="3" t="s">
        <v>781</v>
      </c>
      <c r="J213" s="3" t="s">
        <v>782</v>
      </c>
      <c r="K213" s="12" t="str">
        <f>HYPERLINK("http://slimages.macys.com/is/image/MCY/9408132 ")</f>
        <v xml:space="preserve">http://slimages.macys.com/is/image/MCY/9408132 </v>
      </c>
    </row>
    <row r="214" spans="1:11" ht="72.75" x14ac:dyDescent="0.25">
      <c r="A214" s="9" t="s">
        <v>784</v>
      </c>
      <c r="B214" s="3" t="s">
        <v>785</v>
      </c>
      <c r="C214" s="5">
        <v>2</v>
      </c>
      <c r="D214" s="10">
        <v>29.99</v>
      </c>
      <c r="E214" s="6">
        <v>59.98</v>
      </c>
      <c r="F214" s="5" t="s">
        <v>786</v>
      </c>
      <c r="G214" s="3" t="s">
        <v>174</v>
      </c>
      <c r="H214" s="11"/>
      <c r="I214" s="3" t="s">
        <v>59</v>
      </c>
      <c r="J214" s="3"/>
      <c r="K214" s="12" t="str">
        <f>HYPERLINK("http://slimages.macys.com/is/image/MCY/9997443 ")</f>
        <v xml:space="preserve">http://slimages.macys.com/is/image/MCY/9997443 </v>
      </c>
    </row>
    <row r="215" spans="1:11" ht="72.75" x14ac:dyDescent="0.25">
      <c r="A215" s="9" t="s">
        <v>787</v>
      </c>
      <c r="B215" s="3" t="s">
        <v>788</v>
      </c>
      <c r="C215" s="5">
        <v>3</v>
      </c>
      <c r="D215" s="10">
        <v>18.989999999999998</v>
      </c>
      <c r="E215" s="6">
        <v>56.97</v>
      </c>
      <c r="F215" s="5" t="s">
        <v>789</v>
      </c>
      <c r="G215" s="3" t="s">
        <v>26</v>
      </c>
      <c r="H215" s="11"/>
      <c r="I215" s="3" t="s">
        <v>519</v>
      </c>
      <c r="J215" s="3" t="s">
        <v>237</v>
      </c>
      <c r="K215" s="12" t="str">
        <f>HYPERLINK("http://slimages.macys.com/is/image/MCY/12264925 ")</f>
        <v xml:space="preserve">http://slimages.macys.com/is/image/MCY/12264925 </v>
      </c>
    </row>
    <row r="216" spans="1:11" ht="72.75" x14ac:dyDescent="0.25">
      <c r="A216" s="9" t="s">
        <v>790</v>
      </c>
      <c r="B216" s="3" t="s">
        <v>791</v>
      </c>
      <c r="C216" s="5">
        <v>6</v>
      </c>
      <c r="D216" s="10">
        <v>17.989999999999998</v>
      </c>
      <c r="E216" s="6">
        <v>107.94</v>
      </c>
      <c r="F216" s="5" t="s">
        <v>792</v>
      </c>
      <c r="G216" s="3" t="s">
        <v>668</v>
      </c>
      <c r="H216" s="11"/>
      <c r="I216" s="3" t="s">
        <v>519</v>
      </c>
      <c r="J216" s="3" t="s">
        <v>237</v>
      </c>
      <c r="K216" s="12" t="str">
        <f>HYPERLINK("http://slimages.macys.com/is/image/MCY/12265669 ")</f>
        <v xml:space="preserve">http://slimages.macys.com/is/image/MCY/12265669 </v>
      </c>
    </row>
    <row r="217" spans="1:11" ht="72.75" x14ac:dyDescent="0.25">
      <c r="A217" s="9" t="s">
        <v>793</v>
      </c>
      <c r="B217" s="3" t="s">
        <v>794</v>
      </c>
      <c r="C217" s="5">
        <v>1</v>
      </c>
      <c r="D217" s="10">
        <v>17.989999999999998</v>
      </c>
      <c r="E217" s="6">
        <v>17.989999999999998</v>
      </c>
      <c r="F217" s="5" t="s">
        <v>795</v>
      </c>
      <c r="G217" s="3" t="s">
        <v>116</v>
      </c>
      <c r="H217" s="11"/>
      <c r="I217" s="3" t="s">
        <v>519</v>
      </c>
      <c r="J217" s="3" t="s">
        <v>54</v>
      </c>
      <c r="K217" s="12" t="str">
        <f>HYPERLINK("http://slimages.macys.com/is/image/MCY/12712427 ")</f>
        <v xml:space="preserve">http://slimages.macys.com/is/image/MCY/12712427 </v>
      </c>
    </row>
    <row r="218" spans="1:11" ht="72.75" x14ac:dyDescent="0.25">
      <c r="A218" s="9" t="s">
        <v>796</v>
      </c>
      <c r="B218" s="3" t="s">
        <v>797</v>
      </c>
      <c r="C218" s="5">
        <v>2</v>
      </c>
      <c r="D218" s="10">
        <v>17.989999999999998</v>
      </c>
      <c r="E218" s="6">
        <v>35.979999999999997</v>
      </c>
      <c r="F218" s="5" t="s">
        <v>798</v>
      </c>
      <c r="G218" s="3" t="s">
        <v>32</v>
      </c>
      <c r="H218" s="11" t="s">
        <v>799</v>
      </c>
      <c r="I218" s="3" t="s">
        <v>519</v>
      </c>
      <c r="J218" s="3" t="s">
        <v>237</v>
      </c>
      <c r="K218" s="12" t="str">
        <f>HYPERLINK("http://slimages.macys.com/is/image/MCY/12266204 ")</f>
        <v xml:space="preserve">http://slimages.macys.com/is/image/MCY/12266204 </v>
      </c>
    </row>
    <row r="219" spans="1:11" ht="72.75" x14ac:dyDescent="0.25">
      <c r="A219" s="9" t="s">
        <v>800</v>
      </c>
      <c r="B219" s="3" t="s">
        <v>801</v>
      </c>
      <c r="C219" s="5">
        <v>1</v>
      </c>
      <c r="D219" s="10">
        <v>11.99</v>
      </c>
      <c r="E219" s="6">
        <v>11.99</v>
      </c>
      <c r="F219" s="5" t="s">
        <v>802</v>
      </c>
      <c r="G219" s="3" t="s">
        <v>406</v>
      </c>
      <c r="H219" s="11"/>
      <c r="I219" s="3" t="s">
        <v>497</v>
      </c>
      <c r="J219" s="3" t="s">
        <v>54</v>
      </c>
      <c r="K219" s="12" t="str">
        <f>HYPERLINK("http://slimages.macys.com/is/image/MCY/935272 ")</f>
        <v xml:space="preserve">http://slimages.macys.com/is/image/MCY/935272 </v>
      </c>
    </row>
    <row r="220" spans="1:11" ht="72.75" x14ac:dyDescent="0.25">
      <c r="A220" s="9" t="s">
        <v>803</v>
      </c>
      <c r="B220" s="3" t="s">
        <v>804</v>
      </c>
      <c r="C220" s="5">
        <v>5</v>
      </c>
      <c r="D220" s="10">
        <v>14.99</v>
      </c>
      <c r="E220" s="6">
        <v>74.95</v>
      </c>
      <c r="F220" s="5" t="s">
        <v>805</v>
      </c>
      <c r="G220" s="3"/>
      <c r="H220" s="11"/>
      <c r="I220" s="3" t="s">
        <v>806</v>
      </c>
      <c r="J220" s="3" t="s">
        <v>807</v>
      </c>
      <c r="K220" s="12" t="str">
        <f>HYPERLINK("http://slimages.macys.com/is/image/MCY/16140168 ")</f>
        <v xml:space="preserve">http://slimages.macys.com/is/image/MCY/16140168 </v>
      </c>
    </row>
    <row r="221" spans="1:11" ht="72.75" x14ac:dyDescent="0.25">
      <c r="A221" s="9" t="s">
        <v>808</v>
      </c>
      <c r="B221" s="3" t="s">
        <v>809</v>
      </c>
      <c r="C221" s="5">
        <v>1</v>
      </c>
      <c r="D221" s="10">
        <v>14.99</v>
      </c>
      <c r="E221" s="6">
        <v>14.99</v>
      </c>
      <c r="F221" s="5" t="s">
        <v>810</v>
      </c>
      <c r="G221" s="3"/>
      <c r="H221" s="11"/>
      <c r="I221" s="3" t="s">
        <v>806</v>
      </c>
      <c r="J221" s="3" t="s">
        <v>807</v>
      </c>
      <c r="K221" s="12" t="str">
        <f>HYPERLINK("http://slimages.macys.com/is/image/MCY/16140169 ")</f>
        <v xml:space="preserve">http://slimages.macys.com/is/image/MCY/16140169 </v>
      </c>
    </row>
    <row r="222" spans="1:11" ht="72.75" x14ac:dyDescent="0.25">
      <c r="A222" s="9" t="s">
        <v>811</v>
      </c>
      <c r="B222" s="3" t="s">
        <v>812</v>
      </c>
      <c r="C222" s="5">
        <v>1</v>
      </c>
      <c r="D222" s="10">
        <v>14.99</v>
      </c>
      <c r="E222" s="6">
        <v>14.99</v>
      </c>
      <c r="F222" s="5" t="s">
        <v>813</v>
      </c>
      <c r="G222" s="3" t="s">
        <v>294</v>
      </c>
      <c r="H222" s="11" t="s">
        <v>381</v>
      </c>
      <c r="I222" s="3" t="s">
        <v>519</v>
      </c>
      <c r="J222" s="3" t="s">
        <v>814</v>
      </c>
      <c r="K222" s="12" t="str">
        <f>HYPERLINK("http://slimages.macys.com/is/image/MCY/9456462 ")</f>
        <v xml:space="preserve">http://slimages.macys.com/is/image/MCY/9456462 </v>
      </c>
    </row>
    <row r="223" spans="1:11" ht="72.75" x14ac:dyDescent="0.25">
      <c r="A223" s="9" t="s">
        <v>815</v>
      </c>
      <c r="B223" s="3" t="s">
        <v>816</v>
      </c>
      <c r="C223" s="5">
        <v>1</v>
      </c>
      <c r="D223" s="10">
        <v>14.99</v>
      </c>
      <c r="E223" s="6">
        <v>14.99</v>
      </c>
      <c r="F223" s="5" t="s">
        <v>817</v>
      </c>
      <c r="G223" s="3" t="s">
        <v>38</v>
      </c>
      <c r="H223" s="11" t="s">
        <v>381</v>
      </c>
      <c r="I223" s="3" t="s">
        <v>519</v>
      </c>
      <c r="J223" s="3" t="s">
        <v>814</v>
      </c>
      <c r="K223" s="12" t="str">
        <f>HYPERLINK("http://slimages.macys.com/is/image/MCY/9456462 ")</f>
        <v xml:space="preserve">http://slimages.macys.com/is/image/MCY/9456462 </v>
      </c>
    </row>
    <row r="224" spans="1:11" ht="72.75" x14ac:dyDescent="0.25">
      <c r="A224" s="9" t="s">
        <v>818</v>
      </c>
      <c r="B224" s="3" t="s">
        <v>819</v>
      </c>
      <c r="C224" s="5">
        <v>2</v>
      </c>
      <c r="D224" s="10">
        <v>19.989999999999998</v>
      </c>
      <c r="E224" s="6">
        <v>39.979999999999997</v>
      </c>
      <c r="F224" s="5" t="s">
        <v>820</v>
      </c>
      <c r="G224" s="3" t="s">
        <v>26</v>
      </c>
      <c r="H224" s="11"/>
      <c r="I224" s="3" t="s">
        <v>821</v>
      </c>
      <c r="J224" s="3" t="s">
        <v>488</v>
      </c>
      <c r="K224" s="12" t="str">
        <f>HYPERLINK("http://slimages.macys.com/is/image/MCY/9939770 ")</f>
        <v xml:space="preserve">http://slimages.macys.com/is/image/MCY/9939770 </v>
      </c>
    </row>
    <row r="225" spans="1:11" ht="72.75" x14ac:dyDescent="0.25">
      <c r="A225" s="9" t="s">
        <v>822</v>
      </c>
      <c r="B225" s="3" t="s">
        <v>823</v>
      </c>
      <c r="C225" s="5">
        <v>3</v>
      </c>
      <c r="D225" s="10">
        <v>19.989999999999998</v>
      </c>
      <c r="E225" s="6">
        <v>59.97</v>
      </c>
      <c r="F225" s="5">
        <v>100037953</v>
      </c>
      <c r="G225" s="3" t="s">
        <v>557</v>
      </c>
      <c r="H225" s="11"/>
      <c r="I225" s="3" t="s">
        <v>821</v>
      </c>
      <c r="J225" s="3" t="s">
        <v>88</v>
      </c>
      <c r="K225" s="12" t="str">
        <f>HYPERLINK("http://slimages.macys.com/is/image/MCY/9161407 ")</f>
        <v xml:space="preserve">http://slimages.macys.com/is/image/MCY/9161407 </v>
      </c>
    </row>
    <row r="226" spans="1:11" ht="72.75" x14ac:dyDescent="0.25">
      <c r="A226" s="9" t="s">
        <v>824</v>
      </c>
      <c r="B226" s="3" t="s">
        <v>825</v>
      </c>
      <c r="C226" s="5">
        <v>1</v>
      </c>
      <c r="D226" s="10">
        <v>5.99</v>
      </c>
      <c r="E226" s="6">
        <v>5.99</v>
      </c>
      <c r="F226" s="5" t="s">
        <v>826</v>
      </c>
      <c r="G226" s="3" t="s">
        <v>26</v>
      </c>
      <c r="H226" s="11" t="s">
        <v>827</v>
      </c>
      <c r="I226" s="3" t="s">
        <v>828</v>
      </c>
      <c r="J226" s="3" t="s">
        <v>208</v>
      </c>
      <c r="K226" s="12" t="str">
        <f>HYPERLINK("http://slimages.macys.com/is/image/MCY/9710297 ")</f>
        <v xml:space="preserve">http://slimages.macys.com/is/image/MCY/9710297 </v>
      </c>
    </row>
    <row r="227" spans="1:11" ht="48.75" x14ac:dyDescent="0.25">
      <c r="A227" s="9" t="s">
        <v>829</v>
      </c>
      <c r="B227" s="3" t="s">
        <v>830</v>
      </c>
      <c r="C227" s="5">
        <v>4</v>
      </c>
      <c r="D227" s="10">
        <v>40</v>
      </c>
      <c r="E227" s="6">
        <v>160</v>
      </c>
      <c r="F227" s="5"/>
      <c r="G227" s="3" t="s">
        <v>831</v>
      </c>
      <c r="H227" s="11" t="s">
        <v>381</v>
      </c>
      <c r="I227" s="3" t="s">
        <v>832</v>
      </c>
      <c r="J227" s="3"/>
      <c r="K227" s="12"/>
    </row>
    <row r="228" spans="1:11" ht="48.75" x14ac:dyDescent="0.25">
      <c r="A228" s="9" t="s">
        <v>833</v>
      </c>
      <c r="B228" s="3" t="s">
        <v>834</v>
      </c>
      <c r="C228" s="5">
        <v>1</v>
      </c>
      <c r="D228" s="10">
        <v>74.989999999999995</v>
      </c>
      <c r="E228" s="6">
        <v>74.989999999999995</v>
      </c>
      <c r="F228" s="5" t="s">
        <v>835</v>
      </c>
      <c r="G228" s="3"/>
      <c r="H228" s="11"/>
      <c r="I228" s="3" t="s">
        <v>806</v>
      </c>
      <c r="J228" s="3"/>
      <c r="K228" s="12"/>
    </row>
    <row r="229" spans="1:11" ht="48.75" x14ac:dyDescent="0.25">
      <c r="A229" s="9" t="s">
        <v>836</v>
      </c>
      <c r="B229" s="3" t="s">
        <v>837</v>
      </c>
      <c r="C229" s="5">
        <v>2</v>
      </c>
      <c r="D229" s="10">
        <v>74.989999999999995</v>
      </c>
      <c r="E229" s="6">
        <v>149.97999999999999</v>
      </c>
      <c r="F229" s="5" t="s">
        <v>838</v>
      </c>
      <c r="G229" s="3"/>
      <c r="H229" s="11"/>
      <c r="I229" s="3" t="s">
        <v>806</v>
      </c>
      <c r="J229" s="3"/>
      <c r="K229" s="12"/>
    </row>
  </sheetData>
  <phoneticPr fontId="1" type="noConversion"/>
  <pageMargins left="0.5" right="0.5" top="0.25" bottom="0.25" header="0.3" footer="0.3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revision>3</cp:revision>
  <dcterms:modified xsi:type="dcterms:W3CDTF">2021-06-25T08:49:44Z</dcterms:modified>
</cp:coreProperties>
</file>